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2A9E2AAE-4753-4D4E-A90A-E46DD2405B9D}" xr6:coauthVersionLast="47" xr6:coauthVersionMax="47" xr10:uidLastSave="{00000000-0000-0000-0000-000000000000}"/>
  <bookViews>
    <workbookView xWindow="780" yWindow="600" windowWidth="26550" windowHeight="15600" xr2:uid="{00000000-000D-0000-FFFF-FFFF00000000}"/>
  </bookViews>
  <sheets>
    <sheet name="Nómina" sheetId="18" r:id="rId1"/>
    <sheet name="Nomina1dia" sheetId="19" state="hidden" r:id="rId2"/>
    <sheet name="Nóminab" sheetId="8" state="hidden" r:id="rId3"/>
    <sheet name="IRPF año completo" sheetId="15" r:id="rId4"/>
    <sheet name="IRPF meses nombrado" sheetId="16" r:id="rId5"/>
    <sheet name="Retribuciones" sheetId="14" r:id="rId6"/>
    <sheet name="Hoja1" sheetId="21" state="hidden" r:id="rId7"/>
    <sheet name="SexeniosPerdidos" sheetId="20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31" i="14" l="1"/>
  <c r="T30" i="14"/>
  <c r="T29" i="14"/>
  <c r="P114" i="14" l="1"/>
  <c r="P115" i="14" s="1"/>
  <c r="AW107" i="14"/>
  <c r="AW109" i="14"/>
  <c r="P85" i="14"/>
  <c r="P87" i="14"/>
  <c r="E12" i="14"/>
  <c r="F12" i="14"/>
  <c r="J12" i="14"/>
  <c r="D8" i="18"/>
  <c r="B38" i="16" s="1"/>
  <c r="B17" i="18"/>
  <c r="B18" i="18"/>
  <c r="B11" i="16"/>
  <c r="F52" i="18"/>
  <c r="B8" i="18"/>
  <c r="E8" i="18"/>
  <c r="E38" i="18"/>
  <c r="J16" i="20"/>
  <c r="J15" i="20" s="1"/>
  <c r="Z17" i="21"/>
  <c r="Z16" i="21"/>
  <c r="L20" i="21" l="1"/>
  <c r="M20" i="21"/>
  <c r="N20" i="21"/>
  <c r="O20" i="21"/>
  <c r="P20" i="21"/>
  <c r="Q20" i="21"/>
  <c r="R20" i="21"/>
  <c r="L21" i="21"/>
  <c r="M21" i="21"/>
  <c r="N21" i="21"/>
  <c r="O21" i="21"/>
  <c r="P21" i="21"/>
  <c r="Q21" i="21"/>
  <c r="R21" i="21"/>
  <c r="M19" i="21"/>
  <c r="N19" i="21"/>
  <c r="O19" i="21"/>
  <c r="P19" i="21"/>
  <c r="Q19" i="21"/>
  <c r="R19" i="21"/>
  <c r="L19" i="21"/>
  <c r="L16" i="21"/>
  <c r="M16" i="21"/>
  <c r="N16" i="21"/>
  <c r="O16" i="21"/>
  <c r="P16" i="21"/>
  <c r="Q16" i="21"/>
  <c r="R16" i="21"/>
  <c r="L17" i="21"/>
  <c r="M17" i="21"/>
  <c r="N17" i="21"/>
  <c r="O17" i="21"/>
  <c r="P17" i="21"/>
  <c r="Q17" i="21"/>
  <c r="R17" i="21"/>
  <c r="M15" i="21"/>
  <c r="N15" i="21"/>
  <c r="O15" i="21"/>
  <c r="P15" i="21"/>
  <c r="Q15" i="21"/>
  <c r="R15" i="21"/>
  <c r="R13" i="21"/>
  <c r="O13" i="21"/>
  <c r="P13" i="21" s="1"/>
  <c r="Q13" i="21" s="1"/>
  <c r="N13" i="21"/>
  <c r="M13" i="21"/>
  <c r="L13" i="21"/>
  <c r="R12" i="21"/>
  <c r="N12" i="21"/>
  <c r="O12" i="21" s="1"/>
  <c r="P12" i="21" s="1"/>
  <c r="Q12" i="21" s="1"/>
  <c r="M12" i="21"/>
  <c r="L12" i="21"/>
  <c r="R11" i="21"/>
  <c r="O11" i="21"/>
  <c r="P11" i="21" s="1"/>
  <c r="Q11" i="21" s="1"/>
  <c r="N11" i="21"/>
  <c r="M11" i="21"/>
  <c r="L11" i="21"/>
  <c r="L15" i="21"/>
  <c r="J8" i="14"/>
  <c r="J7" i="14"/>
  <c r="J6" i="14"/>
  <c r="J5" i="14"/>
  <c r="D8" i="14"/>
  <c r="D7" i="14"/>
  <c r="D6" i="14"/>
  <c r="D5" i="14"/>
  <c r="F5" i="21"/>
  <c r="D5" i="21"/>
  <c r="F3" i="21"/>
  <c r="F8" i="21"/>
  <c r="F7" i="21"/>
  <c r="F6" i="21"/>
  <c r="F4" i="21"/>
  <c r="D4" i="21"/>
  <c r="D6" i="21"/>
  <c r="D7" i="21"/>
  <c r="D8" i="21"/>
  <c r="D3" i="21"/>
  <c r="D14" i="21"/>
  <c r="D15" i="21"/>
  <c r="D13" i="21"/>
  <c r="E18" i="18"/>
  <c r="E17" i="18"/>
  <c r="T133" i="19"/>
  <c r="T134" i="19"/>
  <c r="S134" i="19"/>
  <c r="S133" i="19"/>
  <c r="E35" i="18"/>
  <c r="E33" i="18"/>
  <c r="E53" i="18"/>
  <c r="T69" i="8"/>
  <c r="J17" i="20" l="1"/>
  <c r="K17" i="20" s="1"/>
  <c r="L16" i="20"/>
  <c r="K16" i="20"/>
  <c r="J14" i="20"/>
  <c r="K14" i="20" s="1"/>
  <c r="K15" i="20"/>
  <c r="L15" i="20"/>
  <c r="L14" i="20" l="1"/>
  <c r="M14" i="20" s="1"/>
  <c r="M15" i="20"/>
  <c r="J13" i="20"/>
  <c r="K13" i="20" s="1"/>
  <c r="M16" i="20"/>
  <c r="L17" i="20"/>
  <c r="M17" i="20" s="1"/>
  <c r="J18" i="20"/>
  <c r="D44" i="8"/>
  <c r="B44" i="8"/>
  <c r="B43" i="8"/>
  <c r="B42" i="8"/>
  <c r="B41" i="8"/>
  <c r="U146" i="18"/>
  <c r="T146" i="18"/>
  <c r="U136" i="18"/>
  <c r="T136" i="18"/>
  <c r="L13" i="20" l="1"/>
  <c r="M13" i="20" s="1"/>
  <c r="J12" i="20"/>
  <c r="K12" i="20" s="1"/>
  <c r="J19" i="20"/>
  <c r="K18" i="20"/>
  <c r="L18" i="20"/>
  <c r="L12" i="20"/>
  <c r="K27" i="14"/>
  <c r="L27" i="14" s="1"/>
  <c r="M27" i="14" s="1"/>
  <c r="E27" i="14"/>
  <c r="F27" i="14" s="1"/>
  <c r="G27" i="14" s="1"/>
  <c r="H27" i="14" s="1"/>
  <c r="I27" i="14" s="1"/>
  <c r="K26" i="14"/>
  <c r="L26" i="14" s="1"/>
  <c r="M26" i="14" s="1"/>
  <c r="E26" i="14"/>
  <c r="F26" i="14" s="1"/>
  <c r="G26" i="14" s="1"/>
  <c r="H26" i="14" s="1"/>
  <c r="I26" i="14" s="1"/>
  <c r="K25" i="14"/>
  <c r="L25" i="14" s="1"/>
  <c r="M25" i="14" s="1"/>
  <c r="G25" i="14"/>
  <c r="H25" i="14" s="1"/>
  <c r="I25" i="14" s="1"/>
  <c r="K24" i="14"/>
  <c r="L24" i="14" s="1"/>
  <c r="M24" i="14" s="1"/>
  <c r="G24" i="14"/>
  <c r="H24" i="14" s="1"/>
  <c r="I24" i="14" s="1"/>
  <c r="K23" i="14"/>
  <c r="L23" i="14" s="1"/>
  <c r="M23" i="14" s="1"/>
  <c r="G23" i="14"/>
  <c r="H23" i="14" s="1"/>
  <c r="I23" i="14" s="1"/>
  <c r="D22" i="14"/>
  <c r="E22" i="14" s="1"/>
  <c r="F22" i="14" s="1"/>
  <c r="G22" i="14" s="1"/>
  <c r="H22" i="14" s="1"/>
  <c r="I22" i="14" s="1"/>
  <c r="J22" i="14" s="1"/>
  <c r="K22" i="14" s="1"/>
  <c r="L22" i="14" s="1"/>
  <c r="M22" i="14" s="1"/>
  <c r="E21" i="14"/>
  <c r="F21" i="14" s="1"/>
  <c r="G21" i="14" s="1"/>
  <c r="H21" i="14" s="1"/>
  <c r="I21" i="14" s="1"/>
  <c r="J21" i="14" s="1"/>
  <c r="K21" i="14" s="1"/>
  <c r="L21" i="14" s="1"/>
  <c r="M21" i="14" s="1"/>
  <c r="D20" i="14"/>
  <c r="E20" i="14" s="1"/>
  <c r="F20" i="14" s="1"/>
  <c r="G20" i="14" s="1"/>
  <c r="H20" i="14" s="1"/>
  <c r="I20" i="14" s="1"/>
  <c r="J20" i="14" s="1"/>
  <c r="K20" i="14" s="1"/>
  <c r="L20" i="14" s="1"/>
  <c r="M20" i="14" s="1"/>
  <c r="E19" i="14"/>
  <c r="F19" i="14" s="1"/>
  <c r="G19" i="14" s="1"/>
  <c r="H19" i="14" s="1"/>
  <c r="I19" i="14" s="1"/>
  <c r="J19" i="14" s="1"/>
  <c r="K19" i="14" s="1"/>
  <c r="L19" i="14" s="1"/>
  <c r="M19" i="14" s="1"/>
  <c r="D18" i="14"/>
  <c r="E18" i="14" s="1"/>
  <c r="F18" i="14" s="1"/>
  <c r="G18" i="14" s="1"/>
  <c r="H18" i="14" s="1"/>
  <c r="I18" i="14" s="1"/>
  <c r="J18" i="14" s="1"/>
  <c r="K18" i="14" s="1"/>
  <c r="L18" i="14" s="1"/>
  <c r="M18" i="14" s="1"/>
  <c r="E17" i="14"/>
  <c r="F17" i="14" s="1"/>
  <c r="G17" i="14" s="1"/>
  <c r="H17" i="14" s="1"/>
  <c r="I17" i="14" s="1"/>
  <c r="J17" i="14" s="1"/>
  <c r="K17" i="14" s="1"/>
  <c r="L17" i="14" s="1"/>
  <c r="M17" i="14" s="1"/>
  <c r="D16" i="14"/>
  <c r="E16" i="14" s="1"/>
  <c r="F16" i="14" s="1"/>
  <c r="G16" i="14" s="1"/>
  <c r="H16" i="14" s="1"/>
  <c r="I16" i="14" s="1"/>
  <c r="J16" i="14" s="1"/>
  <c r="K16" i="14" s="1"/>
  <c r="L16" i="14" s="1"/>
  <c r="M16" i="14" s="1"/>
  <c r="E15" i="14"/>
  <c r="F15" i="14" s="1"/>
  <c r="G15" i="14" s="1"/>
  <c r="H15" i="14" s="1"/>
  <c r="I15" i="14" s="1"/>
  <c r="J15" i="14" s="1"/>
  <c r="K15" i="14" s="1"/>
  <c r="L15" i="14" s="1"/>
  <c r="M15" i="14" s="1"/>
  <c r="D14" i="14"/>
  <c r="E14" i="14" s="1"/>
  <c r="F14" i="14" s="1"/>
  <c r="G14" i="14" s="1"/>
  <c r="H14" i="14" s="1"/>
  <c r="I14" i="14" s="1"/>
  <c r="J14" i="14" s="1"/>
  <c r="K14" i="14" s="1"/>
  <c r="L14" i="14" s="1"/>
  <c r="M14" i="14" s="1"/>
  <c r="E13" i="14"/>
  <c r="F13" i="14" s="1"/>
  <c r="G13" i="14" s="1"/>
  <c r="H13" i="14" s="1"/>
  <c r="I13" i="14" s="1"/>
  <c r="J13" i="14" s="1"/>
  <c r="K13" i="14" s="1"/>
  <c r="L13" i="14" s="1"/>
  <c r="M13" i="14" s="1"/>
  <c r="M12" i="14"/>
  <c r="L12" i="14"/>
  <c r="D12" i="14"/>
  <c r="F10" i="14"/>
  <c r="D10" i="14"/>
  <c r="L10" i="14"/>
  <c r="G9" i="14"/>
  <c r="G10" i="14" s="1"/>
  <c r="E10" i="14"/>
  <c r="K8" i="14"/>
  <c r="L8" i="14" s="1"/>
  <c r="M8" i="14" s="1"/>
  <c r="E8" i="14"/>
  <c r="F8" i="14" s="1"/>
  <c r="G8" i="14" s="1"/>
  <c r="H8" i="14" s="1"/>
  <c r="I8" i="14" s="1"/>
  <c r="K7" i="14"/>
  <c r="L7" i="14" s="1"/>
  <c r="M7" i="14" s="1"/>
  <c r="E7" i="14"/>
  <c r="F7" i="14" s="1"/>
  <c r="G7" i="14" s="1"/>
  <c r="H7" i="14" s="1"/>
  <c r="I7" i="14" s="1"/>
  <c r="K6" i="14"/>
  <c r="L6" i="14" s="1"/>
  <c r="M6" i="14" s="1"/>
  <c r="E6" i="14"/>
  <c r="F6" i="14" s="1"/>
  <c r="G6" i="14" s="1"/>
  <c r="H6" i="14" s="1"/>
  <c r="I6" i="14" s="1"/>
  <c r="K5" i="14"/>
  <c r="L5" i="14" s="1"/>
  <c r="M5" i="14" s="1"/>
  <c r="E5" i="14"/>
  <c r="F5" i="14" s="1"/>
  <c r="G5" i="14" s="1"/>
  <c r="H5" i="14" s="1"/>
  <c r="I5" i="14" s="1"/>
  <c r="J11" i="20" l="1"/>
  <c r="J10" i="20" s="1"/>
  <c r="M12" i="20"/>
  <c r="M18" i="20"/>
  <c r="J20" i="20"/>
  <c r="K19" i="20"/>
  <c r="L19" i="20"/>
  <c r="G11" i="14"/>
  <c r="H11" i="14" s="1"/>
  <c r="H12" i="14" s="1"/>
  <c r="K11" i="14"/>
  <c r="K12" i="14" s="1"/>
  <c r="H9" i="14"/>
  <c r="M9" i="14"/>
  <c r="M10" i="14" s="1"/>
  <c r="G12" i="14"/>
  <c r="K11" i="20" l="1"/>
  <c r="M11" i="20" s="1"/>
  <c r="I11" i="14"/>
  <c r="I12" i="14" s="1"/>
  <c r="M19" i="20"/>
  <c r="J21" i="20"/>
  <c r="L20" i="20"/>
  <c r="K20" i="20"/>
  <c r="K10" i="20"/>
  <c r="M10" i="20" s="1"/>
  <c r="J9" i="20"/>
  <c r="I9" i="14"/>
  <c r="H10" i="14"/>
  <c r="M20" i="20" l="1"/>
  <c r="J22" i="20"/>
  <c r="K21" i="20"/>
  <c r="L21" i="20"/>
  <c r="K9" i="20"/>
  <c r="M9" i="20" s="1"/>
  <c r="J8" i="20"/>
  <c r="I10" i="14"/>
  <c r="J9" i="14"/>
  <c r="M21" i="20" l="1"/>
  <c r="L22" i="20"/>
  <c r="K22" i="20"/>
  <c r="J23" i="20"/>
  <c r="K8" i="20"/>
  <c r="M8" i="20" s="1"/>
  <c r="J7" i="20"/>
  <c r="J10" i="14"/>
  <c r="K9" i="14"/>
  <c r="K10" i="14" s="1"/>
  <c r="M22" i="20" l="1"/>
  <c r="L23" i="20"/>
  <c r="J24" i="20"/>
  <c r="K23" i="20"/>
  <c r="J6" i="20"/>
  <c r="K7" i="20"/>
  <c r="M7" i="20" s="1"/>
  <c r="B60" i="18"/>
  <c r="B40" i="8"/>
  <c r="U145" i="18"/>
  <c r="U144" i="18"/>
  <c r="U143" i="18"/>
  <c r="U142" i="18"/>
  <c r="U141" i="18"/>
  <c r="U140" i="18"/>
  <c r="U139" i="18"/>
  <c r="U135" i="18"/>
  <c r="U134" i="18"/>
  <c r="U133" i="18"/>
  <c r="U132" i="18"/>
  <c r="U131" i="18"/>
  <c r="U130" i="18"/>
  <c r="U129" i="18"/>
  <c r="U128" i="18"/>
  <c r="U127" i="18"/>
  <c r="U124" i="18"/>
  <c r="U123" i="18"/>
  <c r="U122" i="18"/>
  <c r="U121" i="18"/>
  <c r="U120" i="18"/>
  <c r="U119" i="18"/>
  <c r="U118" i="18"/>
  <c r="U117" i="18"/>
  <c r="U116" i="18"/>
  <c r="U115" i="18"/>
  <c r="U114" i="18"/>
  <c r="U113" i="18"/>
  <c r="U111" i="18"/>
  <c r="U110" i="18"/>
  <c r="U109" i="18"/>
  <c r="U108" i="18"/>
  <c r="U107" i="18"/>
  <c r="U106" i="18"/>
  <c r="U105" i="18"/>
  <c r="U104" i="18"/>
  <c r="U103" i="18"/>
  <c r="U102" i="18"/>
  <c r="U101" i="18"/>
  <c r="U100" i="18"/>
  <c r="U99" i="18"/>
  <c r="U98" i="18"/>
  <c r="U97" i="18"/>
  <c r="U96" i="18"/>
  <c r="U95" i="18"/>
  <c r="U94" i="18"/>
  <c r="U93" i="18"/>
  <c r="U92" i="18"/>
  <c r="U91" i="18"/>
  <c r="U90" i="18"/>
  <c r="U89" i="18"/>
  <c r="U88" i="18"/>
  <c r="U87" i="18"/>
  <c r="U86" i="18"/>
  <c r="U85" i="18"/>
  <c r="U84" i="18"/>
  <c r="U83" i="18"/>
  <c r="U82" i="18"/>
  <c r="U81" i="18"/>
  <c r="U80" i="18"/>
  <c r="U79" i="18"/>
  <c r="U78" i="18"/>
  <c r="U77" i="18"/>
  <c r="U76" i="18"/>
  <c r="U75" i="18"/>
  <c r="U74" i="18"/>
  <c r="U73" i="18"/>
  <c r="U72" i="18"/>
  <c r="U71" i="18"/>
  <c r="U70" i="18"/>
  <c r="T145" i="18"/>
  <c r="T144" i="18"/>
  <c r="T143" i="18"/>
  <c r="T142" i="18"/>
  <c r="T141" i="18"/>
  <c r="T140" i="18"/>
  <c r="T139" i="18"/>
  <c r="T135" i="18"/>
  <c r="T134" i="18"/>
  <c r="T133" i="18"/>
  <c r="T132" i="18"/>
  <c r="T131" i="18"/>
  <c r="T130" i="18"/>
  <c r="T129" i="18"/>
  <c r="T128" i="18"/>
  <c r="T127" i="18"/>
  <c r="T126" i="18"/>
  <c r="T125" i="18"/>
  <c r="T124" i="18"/>
  <c r="T123" i="18"/>
  <c r="T122" i="18"/>
  <c r="T121" i="18"/>
  <c r="T120" i="18"/>
  <c r="T119" i="18"/>
  <c r="T118" i="18"/>
  <c r="T117" i="18"/>
  <c r="T116" i="18"/>
  <c r="T115" i="18"/>
  <c r="T114" i="18"/>
  <c r="T113" i="18"/>
  <c r="T112" i="18"/>
  <c r="T111" i="18"/>
  <c r="T110" i="18"/>
  <c r="T109" i="18"/>
  <c r="T108" i="18"/>
  <c r="T107" i="18"/>
  <c r="T106" i="18"/>
  <c r="T105" i="18"/>
  <c r="T104" i="18"/>
  <c r="T103" i="18"/>
  <c r="T102" i="18"/>
  <c r="T101" i="18"/>
  <c r="T100" i="18"/>
  <c r="T99" i="18"/>
  <c r="T98" i="18"/>
  <c r="T97" i="18"/>
  <c r="T96" i="18"/>
  <c r="T95" i="18"/>
  <c r="T94" i="18"/>
  <c r="T93" i="18"/>
  <c r="T92" i="18"/>
  <c r="T91" i="18"/>
  <c r="T90" i="18"/>
  <c r="T89" i="18"/>
  <c r="T88" i="18"/>
  <c r="T87" i="18"/>
  <c r="T86" i="18"/>
  <c r="T85" i="18"/>
  <c r="T84" i="18"/>
  <c r="T83" i="18"/>
  <c r="T82" i="18"/>
  <c r="T81" i="18"/>
  <c r="T80" i="18"/>
  <c r="T79" i="18"/>
  <c r="T78" i="18"/>
  <c r="T77" i="18"/>
  <c r="T76" i="18"/>
  <c r="T75" i="18"/>
  <c r="T74" i="18"/>
  <c r="T73" i="18"/>
  <c r="T72" i="18"/>
  <c r="T71" i="18"/>
  <c r="T70" i="18"/>
  <c r="T139" i="8"/>
  <c r="T140" i="8"/>
  <c r="T141" i="8"/>
  <c r="T142" i="8"/>
  <c r="T143" i="8"/>
  <c r="T144" i="8"/>
  <c r="T138" i="8"/>
  <c r="S144" i="8"/>
  <c r="S138" i="8"/>
  <c r="S139" i="8"/>
  <c r="S140" i="8"/>
  <c r="S141" i="8"/>
  <c r="S142" i="8"/>
  <c r="S143" i="8"/>
  <c r="T70" i="8"/>
  <c r="T71" i="8"/>
  <c r="T72" i="8"/>
  <c r="T73" i="8"/>
  <c r="T74" i="8"/>
  <c r="T75" i="8"/>
  <c r="T76" i="8"/>
  <c r="T77" i="8"/>
  <c r="T78" i="8"/>
  <c r="T79" i="8"/>
  <c r="T80" i="8"/>
  <c r="T81" i="8"/>
  <c r="T82" i="8"/>
  <c r="T83" i="8"/>
  <c r="T84" i="8"/>
  <c r="T85" i="8"/>
  <c r="T86" i="8"/>
  <c r="T87" i="8"/>
  <c r="T88" i="8"/>
  <c r="T89" i="8"/>
  <c r="T90" i="8"/>
  <c r="T91" i="8"/>
  <c r="T92" i="8"/>
  <c r="T93" i="8"/>
  <c r="T94" i="8"/>
  <c r="T95" i="8"/>
  <c r="T96" i="8"/>
  <c r="T97" i="8"/>
  <c r="T98" i="8"/>
  <c r="T99" i="8"/>
  <c r="T100" i="8"/>
  <c r="T101" i="8"/>
  <c r="T102" i="8"/>
  <c r="T103" i="8"/>
  <c r="T104" i="8"/>
  <c r="T105" i="8"/>
  <c r="T106" i="8"/>
  <c r="T107" i="8"/>
  <c r="T108" i="8"/>
  <c r="T109" i="8"/>
  <c r="T110" i="8"/>
  <c r="T113" i="8"/>
  <c r="T114" i="8"/>
  <c r="T112" i="8"/>
  <c r="T115" i="8"/>
  <c r="T116" i="8"/>
  <c r="T117" i="8"/>
  <c r="T118" i="8"/>
  <c r="T119" i="8"/>
  <c r="T120" i="8"/>
  <c r="T121" i="8"/>
  <c r="T122" i="8"/>
  <c r="T123" i="8"/>
  <c r="T126" i="8"/>
  <c r="T127" i="8"/>
  <c r="T128" i="8"/>
  <c r="T129" i="8"/>
  <c r="T130" i="8"/>
  <c r="T131" i="8"/>
  <c r="T132" i="8"/>
  <c r="T133" i="8"/>
  <c r="T134" i="8"/>
  <c r="S111" i="8"/>
  <c r="S70" i="8"/>
  <c r="S71" i="8"/>
  <c r="S72" i="8"/>
  <c r="S73" i="8"/>
  <c r="S74" i="8"/>
  <c r="S75" i="8"/>
  <c r="S76" i="8"/>
  <c r="S77" i="8"/>
  <c r="S78" i="8"/>
  <c r="S79" i="8"/>
  <c r="S80" i="8"/>
  <c r="S81" i="8"/>
  <c r="S82" i="8"/>
  <c r="S83" i="8"/>
  <c r="S84" i="8"/>
  <c r="S85" i="8"/>
  <c r="S86" i="8"/>
  <c r="S87" i="8"/>
  <c r="S88" i="8"/>
  <c r="S89" i="8"/>
  <c r="S90" i="8"/>
  <c r="S91" i="8"/>
  <c r="S92" i="8"/>
  <c r="S93" i="8"/>
  <c r="S94" i="8"/>
  <c r="S95" i="8"/>
  <c r="S96" i="8"/>
  <c r="S97" i="8"/>
  <c r="S98" i="8"/>
  <c r="S99" i="8"/>
  <c r="S100" i="8"/>
  <c r="S101" i="8"/>
  <c r="S102" i="8"/>
  <c r="S103" i="8"/>
  <c r="S104" i="8"/>
  <c r="S105" i="8"/>
  <c r="S106" i="8"/>
  <c r="S107" i="8"/>
  <c r="S108" i="8"/>
  <c r="S109" i="8"/>
  <c r="S110" i="8"/>
  <c r="S113" i="8"/>
  <c r="S114" i="8"/>
  <c r="S112" i="8"/>
  <c r="S115" i="8"/>
  <c r="S116" i="8"/>
  <c r="S117" i="8"/>
  <c r="S118" i="8"/>
  <c r="S119" i="8"/>
  <c r="S120" i="8"/>
  <c r="S121" i="8"/>
  <c r="S122" i="8"/>
  <c r="S123" i="8"/>
  <c r="S124" i="8"/>
  <c r="S125" i="8"/>
  <c r="D42" i="8" s="1"/>
  <c r="S126" i="8"/>
  <c r="S127" i="8"/>
  <c r="S128" i="8"/>
  <c r="S129" i="8"/>
  <c r="S130" i="8"/>
  <c r="S131" i="8"/>
  <c r="S132" i="8"/>
  <c r="S133" i="8"/>
  <c r="S134" i="8"/>
  <c r="S69" i="8"/>
  <c r="S68" i="8"/>
  <c r="C5" i="19"/>
  <c r="C6" i="19"/>
  <c r="D37" i="19" s="1"/>
  <c r="C7" i="19"/>
  <c r="C8" i="19"/>
  <c r="B29" i="19" s="1"/>
  <c r="C9" i="19"/>
  <c r="C13" i="19"/>
  <c r="B24" i="19" s="1"/>
  <c r="C14" i="19"/>
  <c r="E30" i="19"/>
  <c r="E31" i="19"/>
  <c r="E32" i="19"/>
  <c r="E33" i="19"/>
  <c r="E34" i="19"/>
  <c r="E35" i="19"/>
  <c r="G35" i="19"/>
  <c r="E36" i="19"/>
  <c r="G36" i="19"/>
  <c r="E37" i="19"/>
  <c r="G37" i="19"/>
  <c r="E38" i="19"/>
  <c r="G38" i="19"/>
  <c r="E39" i="19"/>
  <c r="G39" i="19"/>
  <c r="E44" i="19"/>
  <c r="F44" i="19"/>
  <c r="G44" i="19" s="1"/>
  <c r="E48" i="19"/>
  <c r="S68" i="19"/>
  <c r="S69" i="19"/>
  <c r="T69" i="19"/>
  <c r="S70" i="19"/>
  <c r="T70" i="19"/>
  <c r="S71" i="19"/>
  <c r="T71" i="19"/>
  <c r="S72" i="19"/>
  <c r="T72" i="19"/>
  <c r="S73" i="19"/>
  <c r="T73" i="19"/>
  <c r="S74" i="19"/>
  <c r="T74" i="19"/>
  <c r="S75" i="19"/>
  <c r="T75" i="19"/>
  <c r="S76" i="19"/>
  <c r="T76" i="19"/>
  <c r="S77" i="19"/>
  <c r="T77" i="19"/>
  <c r="S78" i="19"/>
  <c r="T78" i="19"/>
  <c r="S79" i="19"/>
  <c r="T79" i="19"/>
  <c r="S80" i="19"/>
  <c r="T80" i="19"/>
  <c r="S81" i="19"/>
  <c r="T81" i="19"/>
  <c r="S82" i="19"/>
  <c r="T82" i="19"/>
  <c r="S83" i="19"/>
  <c r="T83" i="19"/>
  <c r="S84" i="19"/>
  <c r="T84" i="19"/>
  <c r="S85" i="19"/>
  <c r="T85" i="19"/>
  <c r="S86" i="19"/>
  <c r="T86" i="19"/>
  <c r="S87" i="19"/>
  <c r="S88" i="19"/>
  <c r="T88" i="19"/>
  <c r="S89" i="19"/>
  <c r="T89" i="19"/>
  <c r="S90" i="19"/>
  <c r="T90" i="19"/>
  <c r="S91" i="19"/>
  <c r="T91" i="19"/>
  <c r="S92" i="19"/>
  <c r="T92" i="19"/>
  <c r="S93" i="19"/>
  <c r="T93" i="19"/>
  <c r="S94" i="19"/>
  <c r="T94" i="19"/>
  <c r="S95" i="19"/>
  <c r="T95" i="19"/>
  <c r="S96" i="19"/>
  <c r="T96" i="19"/>
  <c r="S97" i="19"/>
  <c r="T97" i="19"/>
  <c r="S98" i="19"/>
  <c r="T98" i="19"/>
  <c r="S99" i="19"/>
  <c r="T99" i="19"/>
  <c r="S100" i="19"/>
  <c r="T100" i="19"/>
  <c r="S101" i="19"/>
  <c r="T101" i="19"/>
  <c r="S102" i="19"/>
  <c r="T102" i="19"/>
  <c r="S103" i="19"/>
  <c r="T103" i="19"/>
  <c r="S104" i="19"/>
  <c r="T104" i="19"/>
  <c r="S105" i="19"/>
  <c r="T105" i="19"/>
  <c r="S106" i="19"/>
  <c r="T106" i="19"/>
  <c r="S107" i="19"/>
  <c r="T107" i="19"/>
  <c r="S108" i="19"/>
  <c r="S109" i="19"/>
  <c r="T109" i="19"/>
  <c r="S110" i="19"/>
  <c r="T110" i="19"/>
  <c r="S111" i="19"/>
  <c r="T111" i="19"/>
  <c r="S112" i="19"/>
  <c r="T112" i="19"/>
  <c r="S113" i="19"/>
  <c r="T113" i="19"/>
  <c r="S114" i="19"/>
  <c r="T114" i="19"/>
  <c r="S115" i="19"/>
  <c r="T115" i="19"/>
  <c r="S116" i="19"/>
  <c r="T116" i="19"/>
  <c r="S117" i="19"/>
  <c r="T117" i="19"/>
  <c r="S118" i="19"/>
  <c r="T118" i="19"/>
  <c r="S119" i="19"/>
  <c r="T119" i="19"/>
  <c r="S120" i="19"/>
  <c r="T120" i="19"/>
  <c r="S121" i="19"/>
  <c r="T121" i="19"/>
  <c r="S122" i="19"/>
  <c r="T122" i="19"/>
  <c r="S123" i="19"/>
  <c r="T123" i="19"/>
  <c r="S124" i="19"/>
  <c r="S125" i="19"/>
  <c r="S126" i="19"/>
  <c r="T126" i="19"/>
  <c r="S127" i="19"/>
  <c r="T127" i="19"/>
  <c r="S128" i="19"/>
  <c r="T128" i="19"/>
  <c r="S129" i="19"/>
  <c r="T129" i="19"/>
  <c r="S130" i="19"/>
  <c r="T130" i="19"/>
  <c r="S131" i="19"/>
  <c r="T131" i="19"/>
  <c r="S132" i="19"/>
  <c r="T132" i="19"/>
  <c r="B59" i="18"/>
  <c r="B53" i="18"/>
  <c r="B52" i="18"/>
  <c r="B19" i="18"/>
  <c r="V69" i="18" l="1"/>
  <c r="F37" i="19"/>
  <c r="M23" i="20"/>
  <c r="L24" i="20"/>
  <c r="J25" i="20"/>
  <c r="K24" i="20"/>
  <c r="J5" i="20"/>
  <c r="K6" i="20"/>
  <c r="M6" i="20" s="1"/>
  <c r="V126" i="18"/>
  <c r="D43" i="18" s="1"/>
  <c r="D41" i="8"/>
  <c r="V138" i="18"/>
  <c r="V112" i="18"/>
  <c r="F32" i="19"/>
  <c r="G32" i="19" s="1"/>
  <c r="D43" i="8"/>
  <c r="D39" i="19"/>
  <c r="F39" i="19" s="1"/>
  <c r="F34" i="19"/>
  <c r="G34" i="19" s="1"/>
  <c r="B37" i="19"/>
  <c r="D36" i="19"/>
  <c r="F36" i="19" s="1"/>
  <c r="B60" i="19"/>
  <c r="B25" i="19"/>
  <c r="B62" i="19"/>
  <c r="D35" i="19"/>
  <c r="F35" i="19" s="1"/>
  <c r="B51" i="19"/>
  <c r="B36" i="19"/>
  <c r="C51" i="19"/>
  <c r="F48" i="19"/>
  <c r="G48" i="19" s="1"/>
  <c r="F33" i="19"/>
  <c r="G33" i="19" s="1"/>
  <c r="D40" i="8"/>
  <c r="D43" i="19"/>
  <c r="E43" i="19" s="1"/>
  <c r="D42" i="19"/>
  <c r="E42" i="19" s="1"/>
  <c r="D40" i="19"/>
  <c r="E40" i="19" s="1"/>
  <c r="D41" i="19"/>
  <c r="E41" i="19" s="1"/>
  <c r="F31" i="19"/>
  <c r="G31" i="19" s="1"/>
  <c r="F30" i="19"/>
  <c r="G30" i="19" s="1"/>
  <c r="B28" i="19"/>
  <c r="J17" i="19"/>
  <c r="E17" i="19"/>
  <c r="B39" i="19"/>
  <c r="B35" i="19"/>
  <c r="B17" i="19"/>
  <c r="C50" i="19"/>
  <c r="B50" i="19"/>
  <c r="E12" i="19"/>
  <c r="L53" i="19"/>
  <c r="D38" i="19"/>
  <c r="F38" i="19" s="1"/>
  <c r="B12" i="19"/>
  <c r="B38" i="19"/>
  <c r="E11" i="19"/>
  <c r="B11" i="19"/>
  <c r="C49" i="19"/>
  <c r="B49" i="19"/>
  <c r="B62" i="18"/>
  <c r="K25" i="20" l="1"/>
  <c r="J26" i="20"/>
  <c r="L25" i="20"/>
  <c r="M24" i="20"/>
  <c r="K5" i="20"/>
  <c r="M5" i="20" s="1"/>
  <c r="J4" i="20"/>
  <c r="D44" i="18"/>
  <c r="B44" i="18"/>
  <c r="B43" i="18"/>
  <c r="D42" i="18"/>
  <c r="B42" i="18"/>
  <c r="B36" i="18"/>
  <c r="D36" i="18"/>
  <c r="U68" i="8"/>
  <c r="V68" i="8" s="1"/>
  <c r="F43" i="19"/>
  <c r="G43" i="19" s="1"/>
  <c r="F40" i="19"/>
  <c r="G40" i="19" s="1"/>
  <c r="F42" i="19"/>
  <c r="G42" i="19" s="1"/>
  <c r="F41" i="19"/>
  <c r="G41" i="19" s="1"/>
  <c r="B51" i="18"/>
  <c r="E21" i="18"/>
  <c r="E20" i="18"/>
  <c r="B45" i="18"/>
  <c r="B21" i="18"/>
  <c r="B20" i="18"/>
  <c r="M25" i="20" l="1"/>
  <c r="J27" i="20"/>
  <c r="K26" i="20"/>
  <c r="L26" i="20"/>
  <c r="K4" i="20"/>
  <c r="M4" i="20" s="1"/>
  <c r="J3" i="20"/>
  <c r="M26" i="20" l="1"/>
  <c r="L27" i="20"/>
  <c r="K27" i="20"/>
  <c r="J28" i="20"/>
  <c r="K3" i="20"/>
  <c r="M3" i="20" s="1"/>
  <c r="J2" i="20"/>
  <c r="K2" i="20" s="1"/>
  <c r="M2" i="20" s="1"/>
  <c r="B41" i="18"/>
  <c r="B40" i="18"/>
  <c r="B39" i="18"/>
  <c r="B38" i="18"/>
  <c r="B37" i="18"/>
  <c r="N16" i="20" l="1"/>
  <c r="M27" i="20"/>
  <c r="L28" i="20"/>
  <c r="J29" i="20"/>
  <c r="K28" i="20"/>
  <c r="B30" i="18"/>
  <c r="B31" i="18"/>
  <c r="E15" i="18"/>
  <c r="E13" i="18"/>
  <c r="E36" i="18" l="1"/>
  <c r="Z21" i="18"/>
  <c r="J30" i="20"/>
  <c r="L29" i="20"/>
  <c r="K29" i="20"/>
  <c r="M28" i="20"/>
  <c r="B35" i="18"/>
  <c r="C10" i="8"/>
  <c r="C13" i="8"/>
  <c r="C9" i="8"/>
  <c r="C14" i="8"/>
  <c r="C12" i="8"/>
  <c r="C11" i="8"/>
  <c r="C15" i="8"/>
  <c r="C8" i="8"/>
  <c r="C7" i="8"/>
  <c r="C6" i="8"/>
  <c r="B62" i="8" s="1"/>
  <c r="C5" i="8"/>
  <c r="F34" i="8" l="1"/>
  <c r="F32" i="8"/>
  <c r="F30" i="8"/>
  <c r="F33" i="8"/>
  <c r="F31" i="8"/>
  <c r="M29" i="20"/>
  <c r="J31" i="20"/>
  <c r="L30" i="20"/>
  <c r="K30" i="20"/>
  <c r="F48" i="8"/>
  <c r="B34" i="18"/>
  <c r="B15" i="18"/>
  <c r="B13" i="18"/>
  <c r="M30" i="20" l="1"/>
  <c r="J32" i="20"/>
  <c r="K31" i="20"/>
  <c r="L31" i="20"/>
  <c r="E12" i="8"/>
  <c r="E11" i="8"/>
  <c r="B12" i="8"/>
  <c r="B11" i="8"/>
  <c r="M31" i="20" l="1"/>
  <c r="L32" i="20"/>
  <c r="J33" i="20"/>
  <c r="K32" i="20"/>
  <c r="B29" i="8"/>
  <c r="B37" i="8"/>
  <c r="M32" i="20" l="1"/>
  <c r="L33" i="20"/>
  <c r="K33" i="20"/>
  <c r="J34" i="20"/>
  <c r="E17" i="8"/>
  <c r="M33" i="20" l="1"/>
  <c r="L34" i="20"/>
  <c r="J35" i="20"/>
  <c r="K34" i="20"/>
  <c r="D28" i="19"/>
  <c r="E28" i="19" s="1"/>
  <c r="T124" i="19"/>
  <c r="T124" i="8"/>
  <c r="U125" i="18"/>
  <c r="K35" i="20" l="1"/>
  <c r="J36" i="20"/>
  <c r="L35" i="20"/>
  <c r="M34" i="20"/>
  <c r="F28" i="19"/>
  <c r="G28" i="19" s="1"/>
  <c r="E48" i="8"/>
  <c r="M35" i="20" l="1"/>
  <c r="J37" i="20"/>
  <c r="K36" i="20"/>
  <c r="L36" i="20"/>
  <c r="G48" i="8"/>
  <c r="L53" i="8"/>
  <c r="B17" i="8"/>
  <c r="J17" i="8"/>
  <c r="M36" i="20" l="1"/>
  <c r="L37" i="20"/>
  <c r="K37" i="20"/>
  <c r="J38" i="20"/>
  <c r="D50" i="18"/>
  <c r="G30" i="8"/>
  <c r="G31" i="8"/>
  <c r="G32" i="8"/>
  <c r="G33" i="8"/>
  <c r="G34" i="8"/>
  <c r="E30" i="8"/>
  <c r="E31" i="8"/>
  <c r="E32" i="8"/>
  <c r="E33" i="8"/>
  <c r="E34" i="8"/>
  <c r="M37" i="20" l="1"/>
  <c r="L38" i="20"/>
  <c r="J39" i="20"/>
  <c r="K38" i="20"/>
  <c r="L39" i="20" l="1"/>
  <c r="J40" i="20"/>
  <c r="K39" i="20"/>
  <c r="M38" i="20"/>
  <c r="B18" i="16"/>
  <c r="B19" i="16"/>
  <c r="B20" i="16"/>
  <c r="B21" i="16"/>
  <c r="B17" i="16"/>
  <c r="B30" i="16"/>
  <c r="B12" i="16"/>
  <c r="B13" i="16"/>
  <c r="B14" i="16"/>
  <c r="B10" i="16"/>
  <c r="C14" i="16" s="1"/>
  <c r="A7" i="16"/>
  <c r="A29" i="16" s="1"/>
  <c r="A6" i="16"/>
  <c r="C6" i="16" s="1"/>
  <c r="L40" i="20" l="1"/>
  <c r="K40" i="20"/>
  <c r="J41" i="20"/>
  <c r="M39" i="20"/>
  <c r="C21" i="16"/>
  <c r="C18" i="16"/>
  <c r="C20" i="16"/>
  <c r="C12" i="16"/>
  <c r="C11" i="16"/>
  <c r="C13" i="16"/>
  <c r="B29" i="16"/>
  <c r="B38" i="8"/>
  <c r="M40" i="20" l="1"/>
  <c r="K41" i="20"/>
  <c r="L41" i="20"/>
  <c r="J42" i="20"/>
  <c r="C32" i="16"/>
  <c r="C33" i="16" s="1"/>
  <c r="D28" i="8"/>
  <c r="F28" i="8" s="1"/>
  <c r="B60" i="8"/>
  <c r="B51" i="8"/>
  <c r="B50" i="8"/>
  <c r="B39" i="8"/>
  <c r="B36" i="8"/>
  <c r="B35" i="8"/>
  <c r="B28" i="8"/>
  <c r="B25" i="8"/>
  <c r="B24" i="8"/>
  <c r="L42" i="20" l="1"/>
  <c r="K42" i="20"/>
  <c r="M41" i="20"/>
  <c r="G28" i="8"/>
  <c r="E28" i="8"/>
  <c r="C6" i="15"/>
  <c r="B29" i="15"/>
  <c r="A29" i="15"/>
  <c r="B30" i="15"/>
  <c r="C21" i="15"/>
  <c r="C20" i="15"/>
  <c r="C18" i="15"/>
  <c r="C14" i="15"/>
  <c r="C13" i="15"/>
  <c r="C12" i="15"/>
  <c r="C11" i="15"/>
  <c r="M42" i="20" l="1"/>
  <c r="D34" i="18"/>
  <c r="F40" i="8"/>
  <c r="F43" i="8"/>
  <c r="F41" i="8"/>
  <c r="F42" i="8"/>
  <c r="C32" i="15"/>
  <c r="C33" i="15" s="1"/>
  <c r="G42" i="8" l="1"/>
  <c r="E42" i="8"/>
  <c r="E41" i="8"/>
  <c r="G41" i="8"/>
  <c r="E43" i="8"/>
  <c r="G43" i="8"/>
  <c r="G40" i="8"/>
  <c r="E40" i="8"/>
  <c r="T2" i="14" l="1"/>
  <c r="T3" i="14" s="1"/>
  <c r="T8" i="14" l="1"/>
  <c r="T7" i="14"/>
  <c r="T6" i="14"/>
  <c r="T5" i="14"/>
  <c r="T4" i="14"/>
  <c r="C27" i="19" s="1"/>
  <c r="C22" i="19"/>
  <c r="C23" i="19" s="1"/>
  <c r="B23" i="19" s="1"/>
  <c r="T27" i="14"/>
  <c r="T26" i="14"/>
  <c r="T25" i="14"/>
  <c r="T24" i="14"/>
  <c r="T23" i="14"/>
  <c r="T13" i="14"/>
  <c r="D29" i="8" s="1"/>
  <c r="F29" i="8" s="1"/>
  <c r="T21" i="14"/>
  <c r="T20" i="14"/>
  <c r="T19" i="14"/>
  <c r="T11" i="14"/>
  <c r="D38" i="8" s="1"/>
  <c r="F38" i="8" s="1"/>
  <c r="T12" i="14"/>
  <c r="T18" i="14"/>
  <c r="T16" i="14"/>
  <c r="T15" i="14"/>
  <c r="T22" i="14"/>
  <c r="T14" i="14"/>
  <c r="D25" i="8" l="1"/>
  <c r="F25" i="8" s="1"/>
  <c r="G25" i="8" s="1"/>
  <c r="D25" i="19"/>
  <c r="D24" i="19"/>
  <c r="E24" i="19" s="1"/>
  <c r="D29" i="19"/>
  <c r="E29" i="19" s="1"/>
  <c r="D26" i="19"/>
  <c r="E26" i="19" s="1"/>
  <c r="E38" i="8"/>
  <c r="B33" i="18"/>
  <c r="B28" i="18"/>
  <c r="B29" i="18"/>
  <c r="C22" i="8"/>
  <c r="C27" i="8"/>
  <c r="G29" i="8"/>
  <c r="E29" i="8"/>
  <c r="D39" i="8"/>
  <c r="F39" i="8" s="1"/>
  <c r="D24" i="8"/>
  <c r="F24" i="8" s="1"/>
  <c r="E25" i="8"/>
  <c r="T17" i="14"/>
  <c r="D26" i="8"/>
  <c r="F26" i="8" s="1"/>
  <c r="E25" i="19" l="1"/>
  <c r="F25" i="19"/>
  <c r="G25" i="19" s="1"/>
  <c r="F24" i="19"/>
  <c r="G24" i="19" s="1"/>
  <c r="D31" i="18"/>
  <c r="F26" i="19"/>
  <c r="G26" i="19" s="1"/>
  <c r="F29" i="19"/>
  <c r="G29" i="19" s="1"/>
  <c r="D35" i="18"/>
  <c r="G24" i="8"/>
  <c r="G26" i="8"/>
  <c r="E39" i="8"/>
  <c r="E24" i="8"/>
  <c r="E26" i="8"/>
  <c r="G38" i="8" l="1"/>
  <c r="D40" i="18"/>
  <c r="D32" i="18"/>
  <c r="B32" i="18" s="1"/>
  <c r="D30" i="18"/>
  <c r="G39" i="8" l="1"/>
  <c r="D41" i="18" s="1"/>
  <c r="C51" i="8" l="1"/>
  <c r="C50" i="8" l="1"/>
  <c r="C49" i="8"/>
  <c r="B49" i="8"/>
  <c r="C23" i="8" l="1"/>
  <c r="B23" i="8" s="1"/>
  <c r="T10" i="14" l="1"/>
  <c r="T9" i="14"/>
  <c r="D35" i="8"/>
  <c r="D36" i="8"/>
  <c r="D22" i="19"/>
  <c r="D23" i="19"/>
  <c r="T37" i="14" l="1"/>
  <c r="T34" i="14"/>
  <c r="T33" i="14"/>
  <c r="F36" i="8"/>
  <c r="E36" i="8"/>
  <c r="F35" i="8"/>
  <c r="E35" i="8"/>
  <c r="D27" i="19"/>
  <c r="F27" i="19" s="1"/>
  <c r="G27" i="19" s="1"/>
  <c r="D59" i="19"/>
  <c r="D37" i="8"/>
  <c r="E37" i="8" s="1"/>
  <c r="E23" i="19"/>
  <c r="F23" i="19"/>
  <c r="G23" i="19" s="1"/>
  <c r="E22" i="19"/>
  <c r="F22" i="19"/>
  <c r="D27" i="8"/>
  <c r="E27" i="8" s="1"/>
  <c r="D23" i="8"/>
  <c r="D22" i="8"/>
  <c r="F22" i="8" s="1"/>
  <c r="G36" i="8"/>
  <c r="G35" i="8"/>
  <c r="D45" i="19" l="1"/>
  <c r="F37" i="8"/>
  <c r="G37" i="8" s="1"/>
  <c r="E23" i="8"/>
  <c r="F23" i="8"/>
  <c r="G23" i="8" s="1"/>
  <c r="D29" i="18" s="1"/>
  <c r="F27" i="8"/>
  <c r="G27" i="8" s="1"/>
  <c r="E27" i="19"/>
  <c r="E45" i="19" s="1"/>
  <c r="D45" i="18" s="1"/>
  <c r="D45" i="8"/>
  <c r="G22" i="19"/>
  <c r="G45" i="19" s="1"/>
  <c r="F45" i="19"/>
  <c r="D62" i="19"/>
  <c r="D38" i="18"/>
  <c r="D33" i="18"/>
  <c r="D37" i="18"/>
  <c r="D59" i="8"/>
  <c r="E22" i="8"/>
  <c r="E37" i="18" l="1"/>
  <c r="O18" i="20"/>
  <c r="E45" i="8"/>
  <c r="D39" i="18"/>
  <c r="D59" i="18"/>
  <c r="O19" i="20"/>
  <c r="I50" i="19"/>
  <c r="D50" i="19"/>
  <c r="D49" i="19"/>
  <c r="I49" i="19"/>
  <c r="E59" i="8"/>
  <c r="E60" i="8" s="1"/>
  <c r="F59" i="8"/>
  <c r="B24" i="15"/>
  <c r="B39" i="16"/>
  <c r="B24" i="16" s="1"/>
  <c r="D62" i="8"/>
  <c r="G22" i="8"/>
  <c r="G45" i="8" s="1"/>
  <c r="F45" i="8"/>
  <c r="D51" i="19" l="1"/>
  <c r="D60" i="19" s="1"/>
  <c r="I51" i="19"/>
  <c r="E49" i="19"/>
  <c r="F49" i="19"/>
  <c r="F51" i="19"/>
  <c r="G51" i="19" s="1"/>
  <c r="E50" i="19"/>
  <c r="F50" i="19"/>
  <c r="G50" i="19" s="1"/>
  <c r="G59" i="8"/>
  <c r="F60" i="8"/>
  <c r="I49" i="8"/>
  <c r="E62" i="8"/>
  <c r="D49" i="8"/>
  <c r="I51" i="8" s="1"/>
  <c r="F62" i="8"/>
  <c r="G62" i="8" s="1"/>
  <c r="I50" i="8"/>
  <c r="D50" i="8"/>
  <c r="F50" i="8" s="1"/>
  <c r="G50" i="8" s="1"/>
  <c r="D28" i="18"/>
  <c r="D47" i="18" s="1"/>
  <c r="E51" i="19" l="1"/>
  <c r="E55" i="19" s="1"/>
  <c r="E57" i="19" s="1"/>
  <c r="D51" i="8"/>
  <c r="F51" i="8" s="1"/>
  <c r="F49" i="8"/>
  <c r="G49" i="8" s="1"/>
  <c r="E49" i="8"/>
  <c r="G49" i="19"/>
  <c r="G55" i="19" s="1"/>
  <c r="G57" i="19" s="1"/>
  <c r="F55" i="19"/>
  <c r="F57" i="19" s="1"/>
  <c r="D62" i="18"/>
  <c r="E50" i="8"/>
  <c r="D52" i="18" s="1"/>
  <c r="G60" i="8"/>
  <c r="D60" i="8"/>
  <c r="E51" i="8" l="1"/>
  <c r="E55" i="8" s="1"/>
  <c r="E57" i="8" s="1"/>
  <c r="F55" i="8"/>
  <c r="F57" i="8" s="1"/>
  <c r="B40" i="16"/>
  <c r="B28" i="16" s="1"/>
  <c r="B32" i="16" s="1"/>
  <c r="B33" i="16" s="1"/>
  <c r="B34" i="16" s="1"/>
  <c r="B35" i="16" s="1"/>
  <c r="D60" i="18"/>
  <c r="D53" i="18"/>
  <c r="G51" i="8"/>
  <c r="G55" i="8" s="1"/>
  <c r="G57" i="8" s="1"/>
  <c r="B28" i="15"/>
  <c r="B32" i="15" s="1"/>
  <c r="B33" i="15" s="1"/>
  <c r="B34" i="15" s="1"/>
  <c r="B35" i="15" s="1"/>
  <c r="D51" i="18"/>
  <c r="O17" i="20" l="1"/>
  <c r="T32" i="14"/>
  <c r="C17" i="19"/>
  <c r="D52" i="19" s="1"/>
  <c r="D53" i="19" s="1"/>
  <c r="D55" i="19" s="1"/>
  <c r="D57" i="19" s="1"/>
  <c r="C17" i="8"/>
  <c r="D52" i="8" s="1"/>
  <c r="D53" i="8" s="1"/>
  <c r="D54" i="18"/>
  <c r="D55" i="18" s="1"/>
  <c r="D57" i="18" s="1"/>
  <c r="E54" i="18"/>
  <c r="T36" i="14" l="1"/>
  <c r="T38" i="14"/>
  <c r="T35" i="14"/>
  <c r="F54" i="18"/>
  <c r="I17" i="8"/>
  <c r="J53" i="8" s="1"/>
  <c r="K53" i="8" s="1"/>
  <c r="K55" i="8" s="1"/>
  <c r="K57" i="8" s="1"/>
  <c r="I17" i="19"/>
  <c r="J53" i="19" s="1"/>
  <c r="K53" i="19" s="1"/>
  <c r="K55" i="19" s="1"/>
  <c r="K57" i="19" s="1"/>
  <c r="D55" i="8"/>
  <c r="D57" i="8" s="1"/>
</calcChain>
</file>

<file path=xl/sharedStrings.xml><?xml version="1.0" encoding="utf-8"?>
<sst xmlns="http://schemas.openxmlformats.org/spreadsheetml/2006/main" count="592" uniqueCount="355">
  <si>
    <t>Nivel</t>
  </si>
  <si>
    <t>Grupo</t>
  </si>
  <si>
    <t>Sueldo Base</t>
  </si>
  <si>
    <t xml:space="preserve">Trienios </t>
  </si>
  <si>
    <t>Residencia Isla Capitalina</t>
  </si>
  <si>
    <t>Residencia Isla No Capitalina</t>
  </si>
  <si>
    <t>Trienios Residencia Isla No Capitalina</t>
  </si>
  <si>
    <t>Director de Centros de Profesores</t>
  </si>
  <si>
    <t>Director de Residencia Escolar Permanente</t>
  </si>
  <si>
    <t>Director de Residencia Escolar</t>
  </si>
  <si>
    <t>Hora Lectiva Complementaria, Refuerzo Educativo. Grupo A2</t>
  </si>
  <si>
    <t>Jefe de Departamento</t>
  </si>
  <si>
    <t>Maestros de Ocio con Residencia Permanente</t>
  </si>
  <si>
    <t>MUFACE</t>
  </si>
  <si>
    <t>Encargado/a Comedor Gestión Directa. Módulo Hasta 100 comensales.</t>
  </si>
  <si>
    <t>Encargado/a Comedor Gestión Directa. Módulo De 101 a 300 comensales.</t>
  </si>
  <si>
    <t>Encargado/a Comedor Gestión Directa. Módulo Más de 300 comensales.</t>
  </si>
  <si>
    <t>Encargado/a Comedor Gestión Contratada. Módulo Hasta 100 comensales.</t>
  </si>
  <si>
    <t>Encargado/a Comedor Gestión Contratada. Módulo De 101 a 300 comensales.</t>
  </si>
  <si>
    <t>Encargado/a Comedor Gestión Contratada. Módulo Más de 300 comensales.</t>
  </si>
  <si>
    <t>Director/ra IES, CEO, EA. Centro Tipo A (1650 o más Alumnos)</t>
  </si>
  <si>
    <t>Director/ra IES, CEO, EA. Centro Tipo B (de 901 a 1649 Alumnos)</t>
  </si>
  <si>
    <t>Director/ra IES, CEO, EA. Centro Tipo C (de 581 a 900 Alumnos)</t>
  </si>
  <si>
    <t>Director/ra IES, CEO, EA. Centro Tipo D (hasta 580 Alumnos)</t>
  </si>
  <si>
    <t>Jefe Estudios IES, CEO, EA. Centro Tipo A (1650 o más Alumnos)</t>
  </si>
  <si>
    <t>Jefe Estudios IES, CEO, EA. Centro Tipo B (de 901 a 1649 Alumnos)</t>
  </si>
  <si>
    <t>Jefe Estudios IES, CEO, EA. Centro Tipo C (de 581 a 900 Alumnos)</t>
  </si>
  <si>
    <t>Jefe Estudios IES, CEO, EA. Centro Tipo D (hasta 580 Alumnos)</t>
  </si>
  <si>
    <t>Secretario/a IES, CEO, EA. Centro Tipo A (1650 o más Alumnos)</t>
  </si>
  <si>
    <t>Secretario/a IES, CEO, EA. Centro Tipo B (de 901 a 1649 Alumnos)</t>
  </si>
  <si>
    <t>Secretario/a IES, CEO, EA. Centro Tipo C (de 581 a 900 Alumnos)</t>
  </si>
  <si>
    <t>Secretario/a IES, CEO, EA. Centro Tipo D (hasta 580 Alumnos)</t>
  </si>
  <si>
    <t>Vicedirector/ra IES, CEO, EA. Centro Tipo A (1650 o más Alumnos)</t>
  </si>
  <si>
    <t>Vicedirector/ra IES, CEO, EA. Centro Tipo B (de 901 a 1649 Alumnos)</t>
  </si>
  <si>
    <t>Vicedirector/ra IES, CEO, EA. Centro Tipo C (de 581 a 900 Alumnos)</t>
  </si>
  <si>
    <t>Vicedirector/ra IES, CEO, EA. Centro Tipo D (hasta 580 Alumnos)</t>
  </si>
  <si>
    <t>Jefe Estudios Adjunto IES, CEO, EA. Centro Tipo A (1650 o más Alumnos)</t>
  </si>
  <si>
    <t>Jefe Estudios Adjunto IES, CEO, EA. Centro Tipo B (de 901 a 1649 Alumnos)</t>
  </si>
  <si>
    <t>Jefe Estudios Adjunto IES, CEO, EA. Centro Tipo C (de 581 a 900 Alumnos)</t>
  </si>
  <si>
    <t>Jefe Estudios Adjunto IES, CEO, EA. Centro Tipo D (hasta 580 Alumnos)</t>
  </si>
  <si>
    <t>Vicedirector/ra. CEIP, CEP, CEEE, EEI Tipo A (Más de 35 Unidades)</t>
  </si>
  <si>
    <t>Vicedirector/ra. CEIP, CEP, CEEE, EEI Tipo B (27 a 35 Unidades)</t>
  </si>
  <si>
    <t>Vicedirector/ra. CEIP, CEP, CEEE, EEI Tipo C (18 a 26 Unidades)</t>
  </si>
  <si>
    <t>N</t>
  </si>
  <si>
    <t>Trienios</t>
  </si>
  <si>
    <t>INGRESOS BRUTOS</t>
  </si>
  <si>
    <t>GASTOS</t>
  </si>
  <si>
    <t>S</t>
  </si>
  <si>
    <t>Junio</t>
  </si>
  <si>
    <t>Diciembre</t>
  </si>
  <si>
    <t>% Retención IRPF</t>
  </si>
  <si>
    <t>DESCUENTOS</t>
  </si>
  <si>
    <t>Maestros de Primero y Segundo de Enseñanza Secundaria Obligatoria</t>
  </si>
  <si>
    <t>A1</t>
  </si>
  <si>
    <t>Cuerpo Docente</t>
  </si>
  <si>
    <t>Funcionario</t>
  </si>
  <si>
    <t>Nómina con Paga Extraordinaria</t>
  </si>
  <si>
    <t>Interino</t>
  </si>
  <si>
    <t>Aragón</t>
  </si>
  <si>
    <t>Asturias</t>
  </si>
  <si>
    <t>Canarias</t>
  </si>
  <si>
    <t>Cantabria</t>
  </si>
  <si>
    <t>Extremadura</t>
  </si>
  <si>
    <t>Madrid (Comunidad de)</t>
  </si>
  <si>
    <t>Murcia (Región de)</t>
  </si>
  <si>
    <t>País Vasco</t>
  </si>
  <si>
    <t>510-Inspección</t>
  </si>
  <si>
    <t>511-Catedráticos</t>
  </si>
  <si>
    <t>590-Profesores Enseñanza Secundaria</t>
  </si>
  <si>
    <t>591-Profesores Técnicos de Formación Profesional</t>
  </si>
  <si>
    <t>592-Profesores de Escuelas Oficiales de Idiomas</t>
  </si>
  <si>
    <t>594-Profesores de Música y Artes Escénicas</t>
  </si>
  <si>
    <t>595-Profesores de Artes Plásticas y Diseño</t>
  </si>
  <si>
    <t>596-Maestros de Taller de Artes Plásticas y Diseño</t>
  </si>
  <si>
    <t>597-Maestros</t>
  </si>
  <si>
    <t>A2</t>
  </si>
  <si>
    <t>J. Estudios. CEIP, CEP, CEEE, EEI, CEPA. Tipo A (Más de 35 Unidades)</t>
  </si>
  <si>
    <t>J. Estudios. CEIP, CEP, CEEE, EEI, CEPA. Tipo B (27 a 35 Unidades)</t>
  </si>
  <si>
    <t>J. Estudios. CEIP, CEP, CEEE, EEI, CEPA. Tipo C (18 a 26 Unidades)</t>
  </si>
  <si>
    <t>J. Estudios. CEIP, CEP, CEEE, EEI, CEPA. Tipo D (9 a 17 Unidades)</t>
  </si>
  <si>
    <t>Secretario/a. CEIP, CEP, CEEE, EEI, CEPA. Tipo A (Más de 35 Unidades)</t>
  </si>
  <si>
    <t>Secretario/a. CEIP, CEP, CEEE, EEI, CEPA. Tipo B (27 a 35 Unidades)</t>
  </si>
  <si>
    <t>Secretario/a. CEIP, CEP, CEEE, EEI, CEPA. Tipo C (18 a 26 Unidades)</t>
  </si>
  <si>
    <t>Secretario/a. CEIP, CEP, CEEE, EEI, CEPA. Tipo D (9 a 17 Unidades)</t>
  </si>
  <si>
    <t>Secretario/a. CEIP, CEP, CEEE, EEI, CEPA. Tipo E (6 a 8 Unidades)</t>
  </si>
  <si>
    <t>DATOS PARA EL CÁLCULO DEL % DE RETENCIÓN DE IRPF</t>
  </si>
  <si>
    <t>Cumplimentar las casillas de fondo amarillo</t>
  </si>
  <si>
    <t>CONTRIBUYENTE</t>
  </si>
  <si>
    <t>REDUCCIÓN</t>
  </si>
  <si>
    <t>Mínimo personal</t>
  </si>
  <si>
    <t>Discapacidad del contribuyente entre el 33% y el 65%</t>
  </si>
  <si>
    <t>NO</t>
  </si>
  <si>
    <t>Discapacidad del contribuyente igual o superior al 65%</t>
  </si>
  <si>
    <t>DESCENDIENTES, con rentas inferiores a 8.000€</t>
  </si>
  <si>
    <t>El contribuyente es el único que se desgrava por hijos.</t>
  </si>
  <si>
    <t>Número de hijos menores de veinticinco años o con discapacidad cualquiera que sea su edad</t>
  </si>
  <si>
    <t xml:space="preserve">De los anteriores, número de hijos menores de 3 años </t>
  </si>
  <si>
    <t xml:space="preserve">Número de descendientes con grado de discapacidad igual o mayor del 33% y menor del 65% </t>
  </si>
  <si>
    <t>Número de descendientes con grado de discapacidad igual o mayor del 65%</t>
  </si>
  <si>
    <t>ASCENDIENTES, que convivan y con rentas inferiores a 8.000€</t>
  </si>
  <si>
    <t xml:space="preserve">Número de contribuyentes que se aplican esta deducción </t>
  </si>
  <si>
    <t>Número de ascendientes mayores de 65 años o con discapacidad cualquiera que sea su edad</t>
  </si>
  <si>
    <t xml:space="preserve">De los anteriores, número de asecendientes con más de 75 años </t>
  </si>
  <si>
    <t>Número de ascendientes con grado de discapacidad igual o mayor del 33% y menor del 65%</t>
  </si>
  <si>
    <t>Número de ascendientes con grado de discapacidad igual o mayor del 65%</t>
  </si>
  <si>
    <t>SUELDO BRUTO</t>
  </si>
  <si>
    <t>Rendimiento Bruto</t>
  </si>
  <si>
    <t>DEDUCCIONES</t>
  </si>
  <si>
    <t>Rendimiento del trabajo</t>
  </si>
  <si>
    <t>3 o más hijos</t>
  </si>
  <si>
    <t>Base IRPF</t>
  </si>
  <si>
    <t>Cuota IRPF</t>
  </si>
  <si>
    <t>Cuota Final IRPF</t>
  </si>
  <si>
    <t>% de retención de IRPF</t>
  </si>
  <si>
    <t>Trabajador</t>
  </si>
  <si>
    <t>Empresa</t>
  </si>
  <si>
    <t>Seguridad Social y Cuota sindical</t>
  </si>
  <si>
    <t>Cuerpo</t>
  </si>
  <si>
    <t>E</t>
  </si>
  <si>
    <t>C2</t>
  </si>
  <si>
    <t>C1</t>
  </si>
  <si>
    <t>B</t>
  </si>
  <si>
    <t>Extra Sueldo Base</t>
  </si>
  <si>
    <t>SI</t>
  </si>
  <si>
    <t>Carrera (anterior a 1 enero 2011)</t>
  </si>
  <si>
    <t>Carrera (posterior a 1 enero 2011)</t>
  </si>
  <si>
    <t>Coordinador de Servicios Centrales. Tipo A1 (A)</t>
  </si>
  <si>
    <t>Coordinador de Servicios Centrales. Tipo A2 (B)</t>
  </si>
  <si>
    <t>Agosto</t>
  </si>
  <si>
    <t>1 sexenio</t>
  </si>
  <si>
    <t>2 sexenios</t>
  </si>
  <si>
    <t>3 sexenios</t>
  </si>
  <si>
    <t>4 sexenios</t>
  </si>
  <si>
    <t>Residencia</t>
  </si>
  <si>
    <t>Extra Trienios</t>
  </si>
  <si>
    <t xml:space="preserve">Complem. Destino </t>
  </si>
  <si>
    <t xml:space="preserve">Extra Complem. Destino </t>
  </si>
  <si>
    <t>Complem. Específico</t>
  </si>
  <si>
    <t>Adicional Complem. Específico</t>
  </si>
  <si>
    <t>1 sexenio Extra</t>
  </si>
  <si>
    <t>2 sexenios Extra</t>
  </si>
  <si>
    <t>3 sexenios Extra</t>
  </si>
  <si>
    <t>4 sexenios Extra</t>
  </si>
  <si>
    <t>5 sexenios</t>
  </si>
  <si>
    <t>5 sexenios Extra</t>
  </si>
  <si>
    <t>Clase Pasivas</t>
  </si>
  <si>
    <t>Sexenios</t>
  </si>
  <si>
    <t>Hora Lectiva Complementaria, Refuerzo Educativo. Grupo A1</t>
  </si>
  <si>
    <t>Coordinador EOEP</t>
  </si>
  <si>
    <t>Tutoría</t>
  </si>
  <si>
    <t>Coordinación en convivencia</t>
  </si>
  <si>
    <t>Coordinación en tecnologías de la información y la comunicación (TIC)</t>
  </si>
  <si>
    <t>Elaborado por DOCENTES DE CANARIAS-INSUCAN (DCI)</t>
  </si>
  <si>
    <t>Coordinación en prevención de riesgos laborales</t>
  </si>
  <si>
    <t>Sin discapacidad</t>
  </si>
  <si>
    <t>Edad menor de 65 años</t>
  </si>
  <si>
    <t>Edad igual o mayor a 75 años</t>
  </si>
  <si>
    <t>Edad entre 65 y 75 años</t>
  </si>
  <si>
    <t>Elegir del menú desplegable</t>
  </si>
  <si>
    <t>Otras deducciones</t>
  </si>
  <si>
    <t>Otros complementos: Tutoría, Jefe departamento, AICLE/PILE, Coordinación</t>
  </si>
  <si>
    <t>Otros complementos: Encargado comedor, Director Centro Profesores, RE, …..</t>
  </si>
  <si>
    <t>Otros complementos: Cargos directivos de IES, CEO, EA</t>
  </si>
  <si>
    <t>Otros complementos: Cargos directivos de CEIP, CEEE, EEI, CEPA, CER</t>
  </si>
  <si>
    <t xml:space="preserve">Destino en Isla No Capitalina  </t>
  </si>
  <si>
    <t>Complemento Específico</t>
  </si>
  <si>
    <t xml:space="preserve">Complemento Destino </t>
  </si>
  <si>
    <t>SUELDO MENSUAL LIQUIDO A PERCIBIR</t>
  </si>
  <si>
    <t>SUELDO BRUTO ANUAL. Año completo</t>
  </si>
  <si>
    <t>Elegir el cuerpo docente</t>
  </si>
  <si>
    <t>Andalucía</t>
  </si>
  <si>
    <t>Baleares (Islas)</t>
  </si>
  <si>
    <t>Castilla y León</t>
  </si>
  <si>
    <t>Castilla-la Mancha</t>
  </si>
  <si>
    <t>Cataluña</t>
  </si>
  <si>
    <t>Comunidad Valenciana</t>
  </si>
  <si>
    <t>Galicia</t>
  </si>
  <si>
    <t>Navarra (Comunidad Foral de)</t>
  </si>
  <si>
    <t>Rioja (la)</t>
  </si>
  <si>
    <t>Director/ra CEIP, CEP, CEEE, EEI, CEPA. Coordinador CER. Tipo A (Más de 35 Unidades)</t>
  </si>
  <si>
    <t>Director/ra CEIP, CEP, CEEE, EEI, CEPA. Coordinador CER. Tipo B (27 a 35 Unidades)</t>
  </si>
  <si>
    <t>Director/ra CEIP, CEP, CEEE, EEI, CEPA. Coordinador CER. Tipo C (18 a 26 Unidades)</t>
  </si>
  <si>
    <t>Director/ra CEIP, CEP, CEEE, EEI, CEPA. Coordinador CER. Tipo D (9 a 17 Unidades)</t>
  </si>
  <si>
    <t>Director/ra CEIP, CEP, CEEE, EEI, CEPA. Coordinador CER. Tipo E (6 a 8 Unidades)</t>
  </si>
  <si>
    <t>Director/ra CEIP, CEP, CEEE, EEI, CEPA. Coordinador CER. Tipo F (1 a 5 Unidades)</t>
  </si>
  <si>
    <t>Cuota Afiliación DOCENTES DE CANARIAS-INSUCAN (DCI)</t>
  </si>
  <si>
    <t>Otro complemento no incluido en relación anterior, introducirlo</t>
  </si>
  <si>
    <t xml:space="preserve">Maestro de Primero y Segundo de la ESO </t>
  </si>
  <si>
    <t>Grupo, Nivel, Puntos y Grado</t>
  </si>
  <si>
    <t>Meses trabajados en el curso</t>
  </si>
  <si>
    <t>Rendimiento Bruto de los meses trabajados en el curso</t>
  </si>
  <si>
    <t>Años de Servicio a efectos de trienios</t>
  </si>
  <si>
    <t>Años de Servicio a efectos de sexenios</t>
  </si>
  <si>
    <t>Jornada Completa</t>
  </si>
  <si>
    <t>Jornada Parcial</t>
  </si>
  <si>
    <t>Horas lectivas de la jornada parcial</t>
  </si>
  <si>
    <t>Días trabajados en el mes</t>
  </si>
  <si>
    <t>Todos los meses deben computarse como 30 días</t>
  </si>
  <si>
    <t>IMPORTE Nómina</t>
  </si>
  <si>
    <t>Retención IRPF</t>
  </si>
  <si>
    <t>La jornada Completa en Infantil, Primaria y Centros Educación Especial es de 25 horas, en el resto es de 18 horas</t>
  </si>
  <si>
    <t>Nómina 2020 (Mensual y por Días. Jornada Completa y Parcial)</t>
  </si>
  <si>
    <t xml:space="preserve">Coordinador/a Formación en Centros de Trabajo </t>
  </si>
  <si>
    <t xml:space="preserve">Importes oficiales. Resolución Función Pública 10 mar 20 (BOC 20 mar) </t>
  </si>
  <si>
    <t>JORNADA COMPLETA</t>
  </si>
  <si>
    <t>DÍAS TRABAJADOS</t>
  </si>
  <si>
    <t>JORNADA PARCIAL</t>
  </si>
  <si>
    <t>Introducir nº horas Jor. parcial</t>
  </si>
  <si>
    <t>Elegir / Introducir la opción que corresponda</t>
  </si>
  <si>
    <t>Introducir nº de días</t>
  </si>
  <si>
    <t>MES COMPLETO</t>
  </si>
  <si>
    <t>Jornada</t>
  </si>
  <si>
    <t xml:space="preserve">Destino en Isla </t>
  </si>
  <si>
    <t>Nómina</t>
  </si>
  <si>
    <t>Capitalina</t>
  </si>
  <si>
    <t>Sí</t>
  </si>
  <si>
    <t>No</t>
  </si>
  <si>
    <t>Mes</t>
  </si>
  <si>
    <t>por Días</t>
  </si>
  <si>
    <t>No Capitalina</t>
  </si>
  <si>
    <t>Agosto (Interino)</t>
  </si>
  <si>
    <t>Devengo</t>
  </si>
  <si>
    <t>Destino en Isla</t>
  </si>
  <si>
    <r>
      <t xml:space="preserve">Elaborado por </t>
    </r>
    <r>
      <rPr>
        <b/>
        <sz val="14"/>
        <color theme="1"/>
        <rFont val="Calibri"/>
        <family val="2"/>
        <scheme val="minor"/>
      </rPr>
      <t>DOCENTES DE CANARIAS-INSUCAN (DCI)</t>
    </r>
  </si>
  <si>
    <t>Periodo de la nómina</t>
  </si>
  <si>
    <t>Descuentos trabajador</t>
  </si>
  <si>
    <t>Complemento Especial Responsabilidad:</t>
  </si>
  <si>
    <t>Otros complementos: Jefe departamento, Encargado comedor, Maestros en Residencia, otros</t>
  </si>
  <si>
    <t>Otros complementos: Tutoría, AICLE/PILE, Coordinación</t>
  </si>
  <si>
    <t>Otros complementos: AICLE/PILE, Coordinación</t>
  </si>
  <si>
    <t>Otras retribuciones (introducirla)</t>
  </si>
  <si>
    <t>Cargo directivo</t>
  </si>
  <si>
    <t>Seleccionar el cargo</t>
  </si>
  <si>
    <t>Seleccionar el tipo de jornada</t>
  </si>
  <si>
    <t>Seleccionar el mes de la paga extra</t>
  </si>
  <si>
    <t>Seleccionar la situación laboral</t>
  </si>
  <si>
    <t>Seleccionar el cuerpo</t>
  </si>
  <si>
    <t>Seleccionar destino para cálculo de la Residencia</t>
  </si>
  <si>
    <t>Seleccionar tipo retribución: Por mes o por días.</t>
  </si>
  <si>
    <t>Impartición docencia en lengua extranjera. Maestros de Inglés sin B2, ni C1, ni C2</t>
  </si>
  <si>
    <t>Impartición docencia en lengua extranjera. Profesorado con B2</t>
  </si>
  <si>
    <t>Impartición docencia en lengua extranjera. Profesorado con C1 o C2</t>
  </si>
  <si>
    <t>Coordinación impartición docencia en lengua extranjera. Nivel B2</t>
  </si>
  <si>
    <t>Coordinación impartición docencia en lengua extranjera. Nivel C1 o C2</t>
  </si>
  <si>
    <t>Seleccionar lo que corresponda</t>
  </si>
  <si>
    <t>597-Maestros (1º y 2º ESO)</t>
  </si>
  <si>
    <t>Tiempo de servicio</t>
  </si>
  <si>
    <t>Importe Bruto total perdido</t>
  </si>
  <si>
    <t>Año</t>
  </si>
  <si>
    <t>2008 mes</t>
  </si>
  <si>
    <t>2018 mes</t>
  </si>
  <si>
    <t>Importe anual</t>
  </si>
  <si>
    <t>Importe bruto perdido desde implantación</t>
  </si>
  <si>
    <t>Importe neto perdido desde implantación</t>
  </si>
  <si>
    <t xml:space="preserve">A1 </t>
  </si>
  <si>
    <t xml:space="preserve">A2 </t>
  </si>
  <si>
    <t xml:space="preserve">Grupo/Subgrupo EBEP </t>
  </si>
  <si>
    <t>Sueldo</t>
  </si>
  <si>
    <t xml:space="preserve">C1 </t>
  </si>
  <si>
    <t xml:space="preserve">C2 </t>
  </si>
  <si>
    <t>Paga extra</t>
  </si>
  <si>
    <t>Trienios extra</t>
  </si>
  <si>
    <t>Complemento destino</t>
  </si>
  <si>
    <t>mes</t>
  </si>
  <si>
    <t>Nómina 2022.</t>
  </si>
  <si>
    <t>Resolución de 11 de agosto de 2021, por la que se aprueban las instrucciones de organización y funcionamiento de los comedores escolares de los centros docentes públicos no universitarios para el curso escolar 2021-2022.</t>
  </si>
  <si>
    <t>Presupuesto 2022</t>
  </si>
  <si>
    <t>RETRIBUCIONES 2022</t>
  </si>
  <si>
    <t xml:space="preserve">Introducir el número total de años de servicio </t>
  </si>
  <si>
    <t>Computo de plazos en las pagas extras</t>
  </si>
  <si>
    <t>Versión 01/04/2022 (corregido retribuciones de cargos directivos)</t>
  </si>
  <si>
    <t>Ya incluido en la tabla anterior</t>
  </si>
  <si>
    <t>Trienios C1</t>
  </si>
  <si>
    <t>Trienios C2</t>
  </si>
  <si>
    <t>Trienios E</t>
  </si>
  <si>
    <t>Quinquenio</t>
  </si>
  <si>
    <t>Trienios B</t>
  </si>
  <si>
    <t>Paga Extra Sueldo A1 - 26</t>
  </si>
  <si>
    <t>Paga Extra Sueldo A1 - 24</t>
  </si>
  <si>
    <t>Paga Extra Sueldo A2 - 24</t>
  </si>
  <si>
    <t>Paga Extra Sueldo A2 - 21</t>
  </si>
  <si>
    <t>Paga Extra Sueldo A2 - 21 ESO</t>
  </si>
  <si>
    <t>Paga Extra Complemento destino A1 - 26</t>
  </si>
  <si>
    <t>Paga Extra Complemento destino A1 - 24</t>
  </si>
  <si>
    <t>Paga Extra Complemento destino A2 - 24</t>
  </si>
  <si>
    <t>Paga Extra Complemento destino A2 - 21</t>
  </si>
  <si>
    <t>Paga Extra Complemento destino A2 - 21 ESO</t>
  </si>
  <si>
    <t>Paga Extra Complemento Específico A1 - 26</t>
  </si>
  <si>
    <t>Paga Extra Complemento Específico A1 - 24</t>
  </si>
  <si>
    <t>Paga Extra Complemento Específico A2 - 24</t>
  </si>
  <si>
    <t>Paga Extra Complemento Específico A2 - 21</t>
  </si>
  <si>
    <t>Paga Extra Complemento Específico A2 - 21 ESO</t>
  </si>
  <si>
    <t>Paga Extra Trienios A1 - 26</t>
  </si>
  <si>
    <t>Paga Extra Trienios A1 - 24</t>
  </si>
  <si>
    <t>Paga Extra Trienios A2 - 24</t>
  </si>
  <si>
    <t>Paga Extra Trienios A2 - 21</t>
  </si>
  <si>
    <t>Paga Extra Trienios A2 - 21 ESO</t>
  </si>
  <si>
    <t>Paga Extra Trienios C1</t>
  </si>
  <si>
    <t>Paga Extra Trienios C2</t>
  </si>
  <si>
    <t>Paga Extra Trienios E</t>
  </si>
  <si>
    <t>Indemnización Residencia</t>
  </si>
  <si>
    <t>Isla Capitaina</t>
  </si>
  <si>
    <t>Isla No capitalina</t>
  </si>
  <si>
    <t>Trienio Isla No capitalina</t>
  </si>
  <si>
    <t>Cuerpo Inspectores</t>
  </si>
  <si>
    <t>Inspect. Central Nivel 28</t>
  </si>
  <si>
    <t>Inspect. Jefe Territorial/Adjunto Nivel 28</t>
  </si>
  <si>
    <t>Inspect. Coord. Resp Prog. Esp. Nivel 26</t>
  </si>
  <si>
    <t>Inspector Nivel 26</t>
  </si>
  <si>
    <t>Comp Destino</t>
  </si>
  <si>
    <t>Comp Especif</t>
  </si>
  <si>
    <t>Gratificaciones por Servicios Extraordinarios (Hora A1)</t>
  </si>
  <si>
    <t>Gratificaciones por Servicios Extraordinarios (Hora A2)</t>
  </si>
  <si>
    <t>Director CSM</t>
  </si>
  <si>
    <t>Vicedirector CSM</t>
  </si>
  <si>
    <t>Jefe Estudios CSM</t>
  </si>
  <si>
    <t>Secretario Académico CSM</t>
  </si>
  <si>
    <t>Secretario Adjunto CSM</t>
  </si>
  <si>
    <t>Coordinado Curso (CEI)</t>
  </si>
  <si>
    <t>Dtor. Eq. Zonal Tut Jóvenes</t>
  </si>
  <si>
    <t>Jef. Deparatemento CSM</t>
  </si>
  <si>
    <t>lma</t>
  </si>
  <si>
    <t>lme</t>
  </si>
  <si>
    <t>Maternidades</t>
  </si>
  <si>
    <t>A1-24</t>
  </si>
  <si>
    <t>A2-24</t>
  </si>
  <si>
    <t>A2-21</t>
  </si>
  <si>
    <t>A2-21 1º ESO</t>
  </si>
  <si>
    <t>Salario mínimo</t>
  </si>
  <si>
    <t>IPREM</t>
  </si>
  <si>
    <t>Base Máxima CC</t>
  </si>
  <si>
    <t>Base Máxima diaria</t>
  </si>
  <si>
    <t>Base Mínima CP</t>
  </si>
  <si>
    <t>Personal laboral</t>
  </si>
  <si>
    <t>Increm Paga Extra</t>
  </si>
  <si>
    <t>Paga adicional</t>
  </si>
  <si>
    <t>Grupo II</t>
  </si>
  <si>
    <t>Grupo I</t>
  </si>
  <si>
    <t>Comp Incentivo</t>
  </si>
  <si>
    <t>Compl Homol</t>
  </si>
  <si>
    <t>Paga Concert</t>
  </si>
  <si>
    <t>Valor Trienio</t>
  </si>
  <si>
    <t>Comp Esp Responsab</t>
  </si>
  <si>
    <t>Lab. S Antonio</t>
  </si>
  <si>
    <t>Hermano Pedro</t>
  </si>
  <si>
    <t>7% sueldo</t>
  </si>
  <si>
    <t>Otros importes en hoja que tiene nómina</t>
  </si>
  <si>
    <t>% retención</t>
  </si>
  <si>
    <t>Ingreso Bruto Anual</t>
  </si>
  <si>
    <t>Ingreso Bruto Mensual</t>
  </si>
  <si>
    <t>Ingreso Neto Anual</t>
  </si>
  <si>
    <t>Ingreso Neto Mensual</t>
  </si>
  <si>
    <t>Ingreso Bruto Mensual Extra</t>
  </si>
  <si>
    <t>Ingreso Neto Mensual Extra</t>
  </si>
  <si>
    <r>
      <t xml:space="preserve">Elaborado por </t>
    </r>
    <r>
      <rPr>
        <b/>
        <sz val="14"/>
        <color theme="1"/>
        <rFont val="Calibri"/>
        <family val="2"/>
        <scheme val="minor"/>
      </rPr>
      <t>Chojose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</si>
</sst>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€&quot;;[Red]\-#,##0\ &quot;€&quot;"/>
    <numFmt numFmtId="8" formatCode="#,##0.00\ &quot;€&quot;;[Red]\-#,##0.00\ &quot;€&quot;"/>
    <numFmt numFmtId="164" formatCode="#,##0.00\ &quot;€&quot;"/>
    <numFmt numFmtId="165" formatCode="#,##0.0"/>
    <numFmt numFmtId="166" formatCode="#,##0.000"/>
    <numFmt numFmtId="167" formatCode="0.0"/>
    <numFmt numFmtId="168" formatCode="#,##0.00_ ;[Red]\-#,##0.00\ "/>
    <numFmt numFmtId="169" formatCode="0.0%"/>
  </numFmts>
  <fonts count="39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b/>
      <sz val="10"/>
      <color indexed="8"/>
      <name val="Verdana"/>
      <family val="2"/>
    </font>
    <font>
      <sz val="9"/>
      <name val="Verdana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0"/>
      <name val="Verdana"/>
      <family val="2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Verdana"/>
      <family val="2"/>
    </font>
    <font>
      <sz val="12"/>
      <color theme="1"/>
      <name val="Calibri"/>
      <family val="2"/>
      <scheme val="minor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0"/>
      <color rgb="FF333333"/>
      <name val="Verdana"/>
      <family val="2"/>
    </font>
    <font>
      <sz val="10"/>
      <color rgb="FF000000"/>
      <name val="Calibri"/>
      <family val="2"/>
    </font>
    <font>
      <b/>
      <sz val="9"/>
      <name val="Verdana"/>
      <family val="2"/>
    </font>
    <font>
      <b/>
      <sz val="9"/>
      <color rgb="FF000000"/>
      <name val="Calibri"/>
      <family val="2"/>
    </font>
    <font>
      <sz val="8"/>
      <name val="Verdana"/>
      <family val="2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8"/>
      <color theme="1"/>
      <name val="Verdana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E9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2DDDC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ADCF4"/>
        <bgColor indexed="64"/>
      </patternFill>
    </fill>
    <fill>
      <patternFill patternType="solid">
        <fgColor rgb="FFF5822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9B27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FEECDE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8D9F3"/>
        <bgColor indexed="64"/>
      </patternFill>
    </fill>
    <fill>
      <patternFill patternType="solid">
        <fgColor rgb="FF7030A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333">
    <xf numFmtId="0" fontId="0" fillId="0" borderId="0" xfId="0"/>
    <xf numFmtId="0" fontId="7" fillId="2" borderId="0" xfId="0" applyFont="1" applyFill="1" applyProtection="1">
      <protection hidden="1"/>
    </xf>
    <xf numFmtId="0" fontId="1" fillId="3" borderId="0" xfId="0" applyFont="1" applyFill="1" applyProtection="1">
      <protection hidden="1"/>
    </xf>
    <xf numFmtId="0" fontId="1" fillId="4" borderId="1" xfId="0" applyFont="1" applyFill="1" applyBorder="1" applyAlignment="1" applyProtection="1">
      <alignment horizontal="center" wrapText="1"/>
      <protection hidden="1"/>
    </xf>
    <xf numFmtId="0" fontId="7" fillId="4" borderId="2" xfId="0" applyFont="1" applyFill="1" applyBorder="1" applyProtection="1">
      <protection hidden="1"/>
    </xf>
    <xf numFmtId="164" fontId="8" fillId="4" borderId="3" xfId="0" applyNumberFormat="1" applyFont="1" applyFill="1" applyBorder="1" applyAlignment="1" applyProtection="1">
      <alignment horizontal="center"/>
      <protection hidden="1"/>
    </xf>
    <xf numFmtId="0" fontId="9" fillId="5" borderId="14" xfId="0" applyFont="1" applyFill="1" applyBorder="1" applyAlignment="1" applyProtection="1">
      <alignment horizontal="left" wrapText="1"/>
      <protection hidden="1"/>
    </xf>
    <xf numFmtId="0" fontId="8" fillId="6" borderId="1" xfId="0" applyFont="1" applyFill="1" applyBorder="1" applyAlignment="1" applyProtection="1">
      <alignment horizontal="center"/>
      <protection hidden="1"/>
    </xf>
    <xf numFmtId="4" fontId="2" fillId="6" borderId="2" xfId="0" applyNumberFormat="1" applyFont="1" applyFill="1" applyBorder="1" applyAlignment="1" applyProtection="1">
      <alignment horizontal="right" wrapText="1" indent="1"/>
      <protection hidden="1"/>
    </xf>
    <xf numFmtId="164" fontId="8" fillId="6" borderId="3" xfId="0" applyNumberFormat="1" applyFont="1" applyFill="1" applyBorder="1" applyAlignment="1" applyProtection="1">
      <alignment horizontal="center"/>
      <protection hidden="1"/>
    </xf>
    <xf numFmtId="9" fontId="7" fillId="2" borderId="0" xfId="1" applyFont="1" applyFill="1" applyBorder="1" applyProtection="1">
      <protection hidden="1"/>
    </xf>
    <xf numFmtId="164" fontId="1" fillId="8" borderId="3" xfId="0" applyNumberFormat="1" applyFont="1" applyFill="1" applyBorder="1" applyAlignment="1" applyProtection="1">
      <alignment horizontal="right" vertical="center" wrapText="1"/>
      <protection hidden="1"/>
    </xf>
    <xf numFmtId="0" fontId="10" fillId="8" borderId="1" xfId="0" applyFont="1" applyFill="1" applyBorder="1" applyProtection="1">
      <protection hidden="1"/>
    </xf>
    <xf numFmtId="0" fontId="10" fillId="8" borderId="1" xfId="0" applyFont="1" applyFill="1" applyBorder="1" applyAlignment="1" applyProtection="1">
      <alignment horizontal="left"/>
      <protection hidden="1"/>
    </xf>
    <xf numFmtId="0" fontId="1" fillId="8" borderId="6" xfId="0" applyFont="1" applyFill="1" applyBorder="1" applyAlignment="1" applyProtection="1">
      <alignment horizontal="center" vertical="center" wrapText="1"/>
      <protection hidden="1"/>
    </xf>
    <xf numFmtId="0" fontId="9" fillId="5" borderId="15" xfId="0" applyFont="1" applyFill="1" applyBorder="1" applyAlignment="1" applyProtection="1">
      <alignment horizontal="left" wrapText="1"/>
      <protection hidden="1"/>
    </xf>
    <xf numFmtId="164" fontId="1" fillId="8" borderId="4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8" borderId="3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8" borderId="4" xfId="0" applyNumberFormat="1" applyFont="1" applyFill="1" applyBorder="1" applyAlignment="1" applyProtection="1">
      <alignment horizontal="right" vertical="center" wrapText="1"/>
      <protection hidden="1"/>
    </xf>
    <xf numFmtId="164" fontId="8" fillId="4" borderId="3" xfId="0" applyNumberFormat="1" applyFont="1" applyFill="1" applyBorder="1" applyAlignment="1" applyProtection="1">
      <alignment horizontal="center" vertical="center"/>
      <protection hidden="1"/>
    </xf>
    <xf numFmtId="4" fontId="1" fillId="7" borderId="5" xfId="0" applyNumberFormat="1" applyFont="1" applyFill="1" applyBorder="1" applyAlignment="1" applyProtection="1">
      <alignment horizontal="center" vertical="center" wrapText="1"/>
      <protection hidden="1"/>
    </xf>
    <xf numFmtId="3" fontId="1" fillId="7" borderId="5" xfId="0" applyNumberFormat="1" applyFont="1" applyFill="1" applyBorder="1" applyAlignment="1" applyProtection="1">
      <alignment horizontal="center" vertical="center" wrapText="1"/>
      <protection hidden="1"/>
    </xf>
    <xf numFmtId="0" fontId="1" fillId="13" borderId="3" xfId="0" applyFont="1" applyFill="1" applyBorder="1" applyAlignment="1" applyProtection="1">
      <alignment horizontal="left" wrapText="1"/>
      <protection hidden="1"/>
    </xf>
    <xf numFmtId="4" fontId="1" fillId="2" borderId="3" xfId="0" applyNumberFormat="1" applyFont="1" applyFill="1" applyBorder="1" applyAlignment="1" applyProtection="1">
      <alignment horizontal="right" wrapText="1" indent="1"/>
      <protection hidden="1"/>
    </xf>
    <xf numFmtId="164" fontId="7" fillId="2" borderId="0" xfId="1" applyNumberFormat="1" applyFont="1" applyFill="1" applyBorder="1" applyProtection="1">
      <protection hidden="1"/>
    </xf>
    <xf numFmtId="4" fontId="8" fillId="6" borderId="3" xfId="0" applyNumberFormat="1" applyFont="1" applyFill="1" applyBorder="1" applyAlignment="1" applyProtection="1">
      <alignment horizontal="center"/>
      <protection hidden="1"/>
    </xf>
    <xf numFmtId="0" fontId="1" fillId="4" borderId="2" xfId="0" applyFont="1" applyFill="1" applyBorder="1" applyAlignment="1" applyProtection="1">
      <alignment horizontal="center" wrapText="1"/>
      <protection hidden="1"/>
    </xf>
    <xf numFmtId="0" fontId="1" fillId="13" borderId="1" xfId="0" applyFont="1" applyFill="1" applyBorder="1" applyAlignment="1" applyProtection="1">
      <alignment horizontal="left" wrapText="1"/>
      <protection hidden="1"/>
    </xf>
    <xf numFmtId="8" fontId="7" fillId="2" borderId="0" xfId="0" applyNumberFormat="1" applyFont="1" applyFill="1" applyProtection="1">
      <protection hidden="1"/>
    </xf>
    <xf numFmtId="4" fontId="1" fillId="2" borderId="3" xfId="0" applyNumberFormat="1" applyFont="1" applyFill="1" applyBorder="1" applyAlignment="1" applyProtection="1">
      <alignment horizontal="center" wrapText="1"/>
      <protection hidden="1"/>
    </xf>
    <xf numFmtId="0" fontId="7" fillId="2" borderId="0" xfId="0" applyFont="1" applyFill="1" applyAlignment="1" applyProtection="1">
      <alignment vertical="center"/>
      <protection hidden="1"/>
    </xf>
    <xf numFmtId="165" fontId="1" fillId="7" borderId="3" xfId="0" applyNumberFormat="1" applyFont="1" applyFill="1" applyBorder="1" applyAlignment="1" applyProtection="1">
      <alignment horizontal="center" vertical="center" wrapText="1"/>
      <protection hidden="1"/>
    </xf>
    <xf numFmtId="4" fontId="1" fillId="7" borderId="3" xfId="0" applyNumberFormat="1" applyFont="1" applyFill="1" applyBorder="1" applyAlignment="1" applyProtection="1">
      <alignment horizontal="center" vertical="center" wrapText="1"/>
      <protection hidden="1"/>
    </xf>
    <xf numFmtId="0" fontId="11" fillId="2" borderId="3" xfId="0" applyFont="1" applyFill="1" applyBorder="1" applyAlignment="1" applyProtection="1">
      <alignment horizontal="center" vertical="center" wrapText="1"/>
      <protection hidden="1"/>
    </xf>
    <xf numFmtId="0" fontId="1" fillId="15" borderId="1" xfId="0" applyFont="1" applyFill="1" applyBorder="1" applyAlignment="1" applyProtection="1">
      <alignment horizontal="left" vertical="center"/>
      <protection hidden="1"/>
    </xf>
    <xf numFmtId="0" fontId="12" fillId="2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0" fontId="13" fillId="0" borderId="0" xfId="0" applyFont="1" applyProtection="1">
      <protection hidden="1"/>
    </xf>
    <xf numFmtId="0" fontId="0" fillId="0" borderId="0" xfId="0" applyProtection="1">
      <protection hidden="1"/>
    </xf>
    <xf numFmtId="4" fontId="0" fillId="0" borderId="0" xfId="0" applyNumberFormat="1" applyProtection="1">
      <protection hidden="1"/>
    </xf>
    <xf numFmtId="0" fontId="0" fillId="2" borderId="0" xfId="0" applyFill="1" applyProtection="1">
      <protection hidden="1"/>
    </xf>
    <xf numFmtId="0" fontId="16" fillId="17" borderId="3" xfId="0" applyFont="1" applyFill="1" applyBorder="1" applyAlignment="1" applyProtection="1">
      <alignment horizontal="center"/>
      <protection hidden="1"/>
    </xf>
    <xf numFmtId="0" fontId="16" fillId="0" borderId="1" xfId="0" applyFont="1" applyBorder="1" applyAlignment="1" applyProtection="1">
      <alignment vertical="center" wrapText="1"/>
      <protection hidden="1"/>
    </xf>
    <xf numFmtId="0" fontId="0" fillId="0" borderId="2" xfId="0" applyBorder="1" applyProtection="1">
      <protection hidden="1"/>
    </xf>
    <xf numFmtId="4" fontId="0" fillId="18" borderId="3" xfId="0" applyNumberFormat="1" applyFill="1" applyBorder="1" applyProtection="1">
      <protection hidden="1"/>
    </xf>
    <xf numFmtId="0" fontId="16" fillId="0" borderId="3" xfId="0" applyFont="1" applyBorder="1" applyProtection="1">
      <protection hidden="1"/>
    </xf>
    <xf numFmtId="3" fontId="16" fillId="9" borderId="3" xfId="0" applyNumberFormat="1" applyFont="1" applyFill="1" applyBorder="1" applyAlignment="1" applyProtection="1">
      <alignment horizontal="center"/>
      <protection locked="0"/>
    </xf>
    <xf numFmtId="3" fontId="0" fillId="9" borderId="3" xfId="0" applyNumberFormat="1" applyFill="1" applyBorder="1" applyAlignment="1" applyProtection="1">
      <alignment horizontal="center"/>
      <protection locked="0"/>
    </xf>
    <xf numFmtId="0" fontId="16" fillId="0" borderId="3" xfId="0" applyFont="1" applyBorder="1" applyAlignment="1" applyProtection="1">
      <alignment vertical="center" wrapText="1"/>
      <protection hidden="1"/>
    </xf>
    <xf numFmtId="4" fontId="0" fillId="2" borderId="0" xfId="0" applyNumberFormat="1" applyFill="1" applyProtection="1">
      <protection hidden="1"/>
    </xf>
    <xf numFmtId="0" fontId="0" fillId="0" borderId="3" xfId="0" applyBorder="1" applyProtection="1">
      <protection hidden="1"/>
    </xf>
    <xf numFmtId="0" fontId="16" fillId="0" borderId="1" xfId="0" applyFont="1" applyBorder="1" applyProtection="1">
      <protection hidden="1"/>
    </xf>
    <xf numFmtId="4" fontId="0" fillId="0" borderId="3" xfId="0" applyNumberFormat="1" applyBorder="1" applyProtection="1">
      <protection hidden="1"/>
    </xf>
    <xf numFmtId="4" fontId="0" fillId="2" borderId="3" xfId="0" applyNumberFormat="1" applyFill="1" applyBorder="1" applyProtection="1">
      <protection hidden="1"/>
    </xf>
    <xf numFmtId="0" fontId="20" fillId="0" borderId="1" xfId="0" applyFont="1" applyBorder="1" applyAlignment="1" applyProtection="1">
      <alignment horizontal="center" wrapText="1"/>
      <protection hidden="1"/>
    </xf>
    <xf numFmtId="10" fontId="19" fillId="2" borderId="3" xfId="1" applyNumberFormat="1" applyFont="1" applyFill="1" applyBorder="1" applyAlignment="1" applyProtection="1">
      <alignment horizontal="center"/>
      <protection hidden="1"/>
    </xf>
    <xf numFmtId="0" fontId="7" fillId="2" borderId="3" xfId="0" applyFont="1" applyFill="1" applyBorder="1" applyProtection="1">
      <protection hidden="1"/>
    </xf>
    <xf numFmtId="0" fontId="9" fillId="5" borderId="15" xfId="0" applyFont="1" applyFill="1" applyBorder="1" applyAlignment="1" applyProtection="1">
      <alignment horizontal="left" vertical="center" wrapText="1"/>
      <protection hidden="1"/>
    </xf>
    <xf numFmtId="0" fontId="2" fillId="15" borderId="1" xfId="0" applyFont="1" applyFill="1" applyBorder="1" applyAlignment="1" applyProtection="1">
      <alignment horizontal="left" vertical="center"/>
      <protection hidden="1"/>
    </xf>
    <xf numFmtId="9" fontId="8" fillId="12" borderId="3" xfId="1" applyFont="1" applyFill="1" applyBorder="1" applyAlignment="1" applyProtection="1">
      <alignment horizontal="center"/>
      <protection hidden="1"/>
    </xf>
    <xf numFmtId="0" fontId="7" fillId="13" borderId="3" xfId="0" applyFont="1" applyFill="1" applyBorder="1" applyProtection="1">
      <protection hidden="1"/>
    </xf>
    <xf numFmtId="166" fontId="1" fillId="2" borderId="3" xfId="0" applyNumberFormat="1" applyFont="1" applyFill="1" applyBorder="1" applyAlignment="1" applyProtection="1">
      <alignment horizontal="center" wrapText="1"/>
      <protection hidden="1"/>
    </xf>
    <xf numFmtId="164" fontId="7" fillId="2" borderId="3" xfId="0" applyNumberFormat="1" applyFont="1" applyFill="1" applyBorder="1" applyProtection="1">
      <protection hidden="1"/>
    </xf>
    <xf numFmtId="4" fontId="0" fillId="18" borderId="4" xfId="0" applyNumberFormat="1" applyFill="1" applyBorder="1" applyAlignment="1" applyProtection="1">
      <alignment vertical="center"/>
      <protection hidden="1"/>
    </xf>
    <xf numFmtId="0" fontId="5" fillId="22" borderId="0" xfId="0" applyFont="1" applyFill="1" applyProtection="1">
      <protection hidden="1"/>
    </xf>
    <xf numFmtId="0" fontId="5" fillId="22" borderId="3" xfId="0" applyFont="1" applyFill="1" applyBorder="1" applyAlignment="1" applyProtection="1">
      <alignment horizontal="center" vertical="center"/>
      <protection hidden="1"/>
    </xf>
    <xf numFmtId="0" fontId="21" fillId="31" borderId="3" xfId="0" applyFont="1" applyFill="1" applyBorder="1" applyAlignment="1" applyProtection="1">
      <alignment horizontal="center" vertical="top" wrapText="1"/>
      <protection hidden="1"/>
    </xf>
    <xf numFmtId="4" fontId="21" fillId="2" borderId="3" xfId="0" applyNumberFormat="1" applyFont="1" applyFill="1" applyBorder="1" applyAlignment="1" applyProtection="1">
      <alignment horizontal="center" vertical="top"/>
      <protection hidden="1"/>
    </xf>
    <xf numFmtId="4" fontId="21" fillId="2" borderId="3" xfId="0" applyNumberFormat="1" applyFont="1" applyFill="1" applyBorder="1" applyAlignment="1" applyProtection="1">
      <alignment horizontal="center" vertical="top" wrapText="1"/>
      <protection hidden="1"/>
    </xf>
    <xf numFmtId="4" fontId="24" fillId="2" borderId="3" xfId="0" applyNumberFormat="1" applyFont="1" applyFill="1" applyBorder="1" applyAlignment="1" applyProtection="1">
      <alignment horizontal="center" vertical="top" wrapText="1"/>
      <protection hidden="1"/>
    </xf>
    <xf numFmtId="4" fontId="5" fillId="22" borderId="0" xfId="0" applyNumberFormat="1" applyFont="1" applyFill="1" applyProtection="1">
      <protection hidden="1"/>
    </xf>
    <xf numFmtId="0" fontId="0" fillId="0" borderId="3" xfId="0" applyBorder="1" applyAlignment="1" applyProtection="1">
      <alignment horizontal="center"/>
      <protection hidden="1"/>
    </xf>
    <xf numFmtId="8" fontId="0" fillId="6" borderId="4" xfId="0" applyNumberFormat="1" applyFill="1" applyBorder="1" applyAlignment="1" applyProtection="1">
      <alignment horizontal="right"/>
      <protection hidden="1"/>
    </xf>
    <xf numFmtId="4" fontId="21" fillId="9" borderId="3" xfId="0" applyNumberFormat="1" applyFont="1" applyFill="1" applyBorder="1" applyAlignment="1" applyProtection="1">
      <alignment horizontal="center" vertical="top"/>
      <protection hidden="1"/>
    </xf>
    <xf numFmtId="4" fontId="24" fillId="9" borderId="3" xfId="0" applyNumberFormat="1" applyFont="1" applyFill="1" applyBorder="1" applyAlignment="1" applyProtection="1">
      <alignment horizontal="center" vertical="top" wrapText="1"/>
      <protection hidden="1"/>
    </xf>
    <xf numFmtId="8" fontId="0" fillId="9" borderId="4" xfId="0" applyNumberFormat="1" applyFill="1" applyBorder="1" applyAlignment="1" applyProtection="1">
      <alignment horizontal="right"/>
      <protection hidden="1"/>
    </xf>
    <xf numFmtId="8" fontId="16" fillId="9" borderId="4" xfId="0" applyNumberFormat="1" applyFont="1" applyFill="1" applyBorder="1" applyAlignment="1" applyProtection="1">
      <alignment horizontal="right"/>
      <protection hidden="1"/>
    </xf>
    <xf numFmtId="4" fontId="1" fillId="2" borderId="2" xfId="0" applyNumberFormat="1" applyFont="1" applyFill="1" applyBorder="1" applyAlignment="1" applyProtection="1">
      <alignment horizontal="right" wrapText="1" indent="1"/>
      <protection hidden="1"/>
    </xf>
    <xf numFmtId="8" fontId="0" fillId="14" borderId="4" xfId="0" applyNumberFormat="1" applyFill="1" applyBorder="1" applyAlignment="1" applyProtection="1">
      <alignment horizontal="right"/>
      <protection hidden="1"/>
    </xf>
    <xf numFmtId="4" fontId="21" fillId="9" borderId="3" xfId="0" applyNumberFormat="1" applyFont="1" applyFill="1" applyBorder="1" applyAlignment="1" applyProtection="1">
      <alignment horizontal="center"/>
      <protection hidden="1"/>
    </xf>
    <xf numFmtId="4" fontId="21" fillId="9" borderId="1" xfId="0" applyNumberFormat="1" applyFont="1" applyFill="1" applyBorder="1" applyAlignment="1" applyProtection="1">
      <alignment horizontal="center"/>
      <protection hidden="1"/>
    </xf>
    <xf numFmtId="0" fontId="23" fillId="23" borderId="3" xfId="0" applyFont="1" applyFill="1" applyBorder="1" applyAlignment="1" applyProtection="1">
      <alignment horizontal="left" vertical="center" wrapText="1"/>
      <protection hidden="1"/>
    </xf>
    <xf numFmtId="0" fontId="23" fillId="24" borderId="3" xfId="0" applyFont="1" applyFill="1" applyBorder="1" applyAlignment="1" applyProtection="1">
      <alignment horizontal="left" vertical="center" wrapText="1"/>
      <protection hidden="1"/>
    </xf>
    <xf numFmtId="0" fontId="23" fillId="25" borderId="3" xfId="0" applyFont="1" applyFill="1" applyBorder="1" applyAlignment="1" applyProtection="1">
      <alignment horizontal="left" vertical="center" wrapText="1"/>
      <protection hidden="1"/>
    </xf>
    <xf numFmtId="0" fontId="23" fillId="26" borderId="3" xfId="0" applyFont="1" applyFill="1" applyBorder="1" applyAlignment="1" applyProtection="1">
      <alignment horizontal="left" vertical="center" wrapText="1"/>
      <protection hidden="1"/>
    </xf>
    <xf numFmtId="0" fontId="23" fillId="11" borderId="3" xfId="0" applyFont="1" applyFill="1" applyBorder="1" applyAlignment="1" applyProtection="1">
      <alignment horizontal="left" vertical="center" wrapText="1"/>
      <protection hidden="1"/>
    </xf>
    <xf numFmtId="0" fontId="24" fillId="10" borderId="3" xfId="0" applyFont="1" applyFill="1" applyBorder="1" applyAlignment="1" applyProtection="1">
      <alignment horizontal="left" vertical="center" wrapText="1"/>
      <protection hidden="1"/>
    </xf>
    <xf numFmtId="0" fontId="23" fillId="28" borderId="3" xfId="0" applyFont="1" applyFill="1" applyBorder="1" applyAlignment="1" applyProtection="1">
      <alignment horizontal="left" vertical="center" wrapText="1"/>
      <protection hidden="1"/>
    </xf>
    <xf numFmtId="0" fontId="23" fillId="29" borderId="3" xfId="0" applyFont="1" applyFill="1" applyBorder="1" applyAlignment="1" applyProtection="1">
      <alignment horizontal="left" vertical="center" wrapText="1"/>
      <protection hidden="1"/>
    </xf>
    <xf numFmtId="0" fontId="25" fillId="30" borderId="3" xfId="0" applyFont="1" applyFill="1" applyBorder="1" applyAlignment="1" applyProtection="1">
      <alignment horizontal="left" vertical="center"/>
      <protection hidden="1"/>
    </xf>
    <xf numFmtId="0" fontId="25" fillId="30" borderId="3" xfId="0" applyFont="1" applyFill="1" applyBorder="1" applyAlignment="1" applyProtection="1">
      <alignment horizontal="left" vertical="center" wrapText="1"/>
      <protection hidden="1"/>
    </xf>
    <xf numFmtId="0" fontId="5" fillId="22" borderId="3" xfId="0" applyFont="1" applyFill="1" applyBorder="1" applyAlignment="1" applyProtection="1">
      <alignment horizontal="center"/>
      <protection hidden="1"/>
    </xf>
    <xf numFmtId="0" fontId="23" fillId="27" borderId="3" xfId="0" applyFont="1" applyFill="1" applyBorder="1" applyAlignment="1" applyProtection="1">
      <alignment horizontal="left" vertical="center" wrapText="1"/>
      <protection hidden="1"/>
    </xf>
    <xf numFmtId="9" fontId="5" fillId="22" borderId="3" xfId="0" applyNumberFormat="1" applyFont="1" applyFill="1" applyBorder="1" applyAlignment="1" applyProtection="1">
      <alignment horizontal="center"/>
      <protection hidden="1"/>
    </xf>
    <xf numFmtId="4" fontId="0" fillId="9" borderId="3" xfId="0" applyNumberFormat="1" applyFill="1" applyBorder="1" applyProtection="1">
      <protection hidden="1"/>
    </xf>
    <xf numFmtId="4" fontId="0" fillId="9" borderId="3" xfId="0" applyNumberFormat="1" applyFill="1" applyBorder="1" applyProtection="1">
      <protection locked="0"/>
    </xf>
    <xf numFmtId="0" fontId="10" fillId="21" borderId="1" xfId="0" applyFont="1" applyFill="1" applyBorder="1" applyProtection="1">
      <protection hidden="1"/>
    </xf>
    <xf numFmtId="0" fontId="10" fillId="21" borderId="1" xfId="0" applyFont="1" applyFill="1" applyBorder="1" applyAlignment="1" applyProtection="1">
      <alignment horizontal="left"/>
      <protection hidden="1"/>
    </xf>
    <xf numFmtId="0" fontId="10" fillId="20" borderId="1" xfId="0" applyFont="1" applyFill="1" applyBorder="1" applyProtection="1">
      <protection hidden="1"/>
    </xf>
    <xf numFmtId="0" fontId="10" fillId="20" borderId="1" xfId="0" applyFont="1" applyFill="1" applyBorder="1" applyAlignment="1" applyProtection="1">
      <alignment horizontal="left"/>
      <protection hidden="1"/>
    </xf>
    <xf numFmtId="0" fontId="26" fillId="0" borderId="0" xfId="0" applyFont="1" applyAlignment="1" applyProtection="1">
      <alignment horizontal="center"/>
      <protection hidden="1"/>
    </xf>
    <xf numFmtId="0" fontId="26" fillId="0" borderId="0" xfId="0" applyFont="1" applyProtection="1">
      <protection hidden="1"/>
    </xf>
    <xf numFmtId="0" fontId="28" fillId="33" borderId="0" xfId="0" applyFont="1" applyFill="1" applyAlignment="1" applyProtection="1">
      <alignment horizontal="center"/>
      <protection hidden="1"/>
    </xf>
    <xf numFmtId="3" fontId="16" fillId="9" borderId="3" xfId="0" applyNumberFormat="1" applyFont="1" applyFill="1" applyBorder="1" applyAlignment="1" applyProtection="1">
      <alignment horizontal="center"/>
      <protection hidden="1"/>
    </xf>
    <xf numFmtId="3" fontId="0" fillId="9" borderId="3" xfId="0" applyNumberFormat="1" applyFill="1" applyBorder="1" applyAlignment="1" applyProtection="1">
      <alignment horizontal="center"/>
      <protection hidden="1"/>
    </xf>
    <xf numFmtId="0" fontId="7" fillId="14" borderId="5" xfId="0" applyFont="1" applyFill="1" applyBorder="1" applyProtection="1">
      <protection hidden="1"/>
    </xf>
    <xf numFmtId="0" fontId="7" fillId="14" borderId="2" xfId="0" applyFont="1" applyFill="1" applyBorder="1" applyProtection="1">
      <protection hidden="1"/>
    </xf>
    <xf numFmtId="0" fontId="27" fillId="0" borderId="3" xfId="0" applyFont="1" applyBorder="1" applyAlignment="1" applyProtection="1">
      <alignment horizontal="center"/>
      <protection hidden="1"/>
    </xf>
    <xf numFmtId="0" fontId="8" fillId="14" borderId="5" xfId="0" applyFont="1" applyFill="1" applyBorder="1" applyAlignment="1" applyProtection="1">
      <alignment wrapText="1"/>
      <protection hidden="1"/>
    </xf>
    <xf numFmtId="0" fontId="8" fillId="14" borderId="2" xfId="0" applyFont="1" applyFill="1" applyBorder="1" applyAlignment="1" applyProtection="1">
      <alignment wrapText="1"/>
      <protection hidden="1"/>
    </xf>
    <xf numFmtId="0" fontId="7" fillId="2" borderId="5" xfId="0" applyFont="1" applyFill="1" applyBorder="1" applyAlignment="1" applyProtection="1">
      <alignment vertical="center"/>
      <protection hidden="1"/>
    </xf>
    <xf numFmtId="0" fontId="7" fillId="2" borderId="2" xfId="0" applyFont="1" applyFill="1" applyBorder="1" applyAlignment="1" applyProtection="1">
      <alignment vertical="center"/>
      <protection hidden="1"/>
    </xf>
    <xf numFmtId="0" fontId="7" fillId="34" borderId="1" xfId="0" applyFont="1" applyFill="1" applyBorder="1" applyAlignment="1" applyProtection="1">
      <alignment vertical="center"/>
      <protection hidden="1"/>
    </xf>
    <xf numFmtId="0" fontId="7" fillId="34" borderId="5" xfId="0" applyFont="1" applyFill="1" applyBorder="1" applyAlignment="1" applyProtection="1">
      <alignment vertical="center"/>
      <protection hidden="1"/>
    </xf>
    <xf numFmtId="0" fontId="7" fillId="34" borderId="2" xfId="0" applyFont="1" applyFill="1" applyBorder="1" applyAlignment="1" applyProtection="1">
      <alignment vertical="center"/>
      <protection hidden="1"/>
    </xf>
    <xf numFmtId="0" fontId="7" fillId="18" borderId="2" xfId="0" applyFont="1" applyFill="1" applyBorder="1" applyAlignment="1" applyProtection="1">
      <alignment vertical="center"/>
      <protection hidden="1"/>
    </xf>
    <xf numFmtId="10" fontId="8" fillId="18" borderId="3" xfId="1" applyNumberFormat="1" applyFont="1" applyFill="1" applyBorder="1" applyAlignment="1" applyProtection="1">
      <alignment horizontal="center" vertical="center"/>
      <protection hidden="1"/>
    </xf>
    <xf numFmtId="0" fontId="7" fillId="2" borderId="1" xfId="0" applyFont="1" applyFill="1" applyBorder="1" applyProtection="1">
      <protection hidden="1"/>
    </xf>
    <xf numFmtId="0" fontId="7" fillId="18" borderId="1" xfId="0" applyFont="1" applyFill="1" applyBorder="1" applyAlignment="1" applyProtection="1">
      <alignment vertical="center"/>
      <protection hidden="1"/>
    </xf>
    <xf numFmtId="0" fontId="7" fillId="18" borderId="2" xfId="0" applyFont="1" applyFill="1" applyBorder="1" applyProtection="1">
      <protection hidden="1"/>
    </xf>
    <xf numFmtId="10" fontId="7" fillId="9" borderId="3" xfId="0" applyNumberFormat="1" applyFont="1" applyFill="1" applyBorder="1" applyProtection="1">
      <protection hidden="1"/>
    </xf>
    <xf numFmtId="164" fontId="7" fillId="9" borderId="3" xfId="0" applyNumberFormat="1" applyFont="1" applyFill="1" applyBorder="1" applyAlignment="1" applyProtection="1">
      <alignment horizontal="center"/>
      <protection hidden="1"/>
    </xf>
    <xf numFmtId="0" fontId="7" fillId="9" borderId="1" xfId="0" applyFont="1" applyFill="1" applyBorder="1" applyProtection="1">
      <protection hidden="1"/>
    </xf>
    <xf numFmtId="0" fontId="7" fillId="9" borderId="2" xfId="0" applyFont="1" applyFill="1" applyBorder="1" applyProtection="1">
      <protection hidden="1"/>
    </xf>
    <xf numFmtId="0" fontId="2" fillId="13" borderId="1" xfId="0" applyFont="1" applyFill="1" applyBorder="1" applyAlignment="1" applyProtection="1">
      <alignment horizontal="center" wrapText="1"/>
      <protection hidden="1"/>
    </xf>
    <xf numFmtId="166" fontId="1" fillId="2" borderId="11" xfId="0" applyNumberFormat="1" applyFont="1" applyFill="1" applyBorder="1" applyAlignment="1" applyProtection="1">
      <alignment horizontal="center" wrapText="1"/>
      <protection hidden="1"/>
    </xf>
    <xf numFmtId="10" fontId="1" fillId="35" borderId="11" xfId="0" applyNumberFormat="1" applyFont="1" applyFill="1" applyBorder="1" applyAlignment="1" applyProtection="1">
      <alignment horizontal="center" vertical="center" wrapText="1"/>
      <protection hidden="1"/>
    </xf>
    <xf numFmtId="0" fontId="8" fillId="35" borderId="15" xfId="0" applyFont="1" applyFill="1" applyBorder="1" applyAlignment="1" applyProtection="1">
      <alignment horizontal="center" wrapText="1"/>
      <protection hidden="1"/>
    </xf>
    <xf numFmtId="0" fontId="7" fillId="34" borderId="5" xfId="0" applyFont="1" applyFill="1" applyBorder="1" applyProtection="1">
      <protection hidden="1"/>
    </xf>
    <xf numFmtId="0" fontId="7" fillId="34" borderId="2" xfId="0" applyFont="1" applyFill="1" applyBorder="1" applyProtection="1">
      <protection hidden="1"/>
    </xf>
    <xf numFmtId="164" fontId="1" fillId="36" borderId="4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36" borderId="3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36" borderId="6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36" borderId="6" xfId="0" applyNumberFormat="1" applyFont="1" applyFill="1" applyBorder="1" applyAlignment="1" applyProtection="1">
      <alignment horizontal="right" vertical="center" wrapText="1" indent="1"/>
      <protection locked="0"/>
    </xf>
    <xf numFmtId="0" fontId="1" fillId="15" borderId="3" xfId="0" applyFont="1" applyFill="1" applyBorder="1" applyAlignment="1" applyProtection="1">
      <alignment horizontal="left" vertical="center"/>
      <protection hidden="1"/>
    </xf>
    <xf numFmtId="164" fontId="1" fillId="2" borderId="4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37" borderId="4" xfId="0" applyNumberFormat="1" applyFont="1" applyFill="1" applyBorder="1" applyAlignment="1" applyProtection="1">
      <alignment horizontal="right" vertical="center" wrapText="1" indent="1"/>
      <protection hidden="1"/>
    </xf>
    <xf numFmtId="0" fontId="7" fillId="9" borderId="3" xfId="0" applyFont="1" applyFill="1" applyBorder="1" applyProtection="1">
      <protection hidden="1"/>
    </xf>
    <xf numFmtId="0" fontId="7" fillId="9" borderId="3" xfId="0" applyFont="1" applyFill="1" applyBorder="1" applyAlignment="1" applyProtection="1">
      <alignment vertical="center"/>
      <protection hidden="1"/>
    </xf>
    <xf numFmtId="0" fontId="13" fillId="34" borderId="5" xfId="0" applyFont="1" applyFill="1" applyBorder="1" applyProtection="1">
      <protection hidden="1"/>
    </xf>
    <xf numFmtId="164" fontId="29" fillId="4" borderId="3" xfId="0" applyNumberFormat="1" applyFont="1" applyFill="1" applyBorder="1" applyAlignment="1" applyProtection="1">
      <alignment horizontal="center" vertical="center"/>
      <protection hidden="1"/>
    </xf>
    <xf numFmtId="0" fontId="8" fillId="16" borderId="17" xfId="0" applyFont="1" applyFill="1" applyBorder="1" applyAlignment="1" applyProtection="1">
      <alignment vertical="center" wrapText="1"/>
      <protection hidden="1"/>
    </xf>
    <xf numFmtId="0" fontId="7" fillId="15" borderId="7" xfId="0" applyFont="1" applyFill="1" applyBorder="1" applyAlignment="1" applyProtection="1">
      <alignment horizontal="left" vertical="center"/>
      <protection hidden="1"/>
    </xf>
    <xf numFmtId="0" fontId="1" fillId="15" borderId="4" xfId="0" applyFont="1" applyFill="1" applyBorder="1" applyAlignment="1" applyProtection="1">
      <alignment horizontal="left" vertical="center"/>
      <protection hidden="1"/>
    </xf>
    <xf numFmtId="0" fontId="7" fillId="34" borderId="20" xfId="0" applyFont="1" applyFill="1" applyBorder="1" applyAlignment="1" applyProtection="1">
      <alignment horizontal="left" vertical="center"/>
      <protection hidden="1"/>
    </xf>
    <xf numFmtId="0" fontId="7" fillId="9" borderId="21" xfId="0" applyFont="1" applyFill="1" applyBorder="1" applyAlignment="1" applyProtection="1">
      <alignment vertical="center"/>
      <protection hidden="1"/>
    </xf>
    <xf numFmtId="0" fontId="29" fillId="9" borderId="23" xfId="0" applyFont="1" applyFill="1" applyBorder="1" applyAlignment="1" applyProtection="1">
      <alignment vertical="center" wrapText="1"/>
      <protection hidden="1"/>
    </xf>
    <xf numFmtId="0" fontId="7" fillId="9" borderId="24" xfId="0" applyFont="1" applyFill="1" applyBorder="1" applyAlignment="1" applyProtection="1">
      <alignment vertical="center"/>
      <protection hidden="1"/>
    </xf>
    <xf numFmtId="0" fontId="7" fillId="34" borderId="25" xfId="0" applyFont="1" applyFill="1" applyBorder="1" applyAlignment="1" applyProtection="1">
      <alignment horizontal="left" vertical="center"/>
      <protection hidden="1"/>
    </xf>
    <xf numFmtId="0" fontId="7" fillId="9" borderId="26" xfId="0" applyFont="1" applyFill="1" applyBorder="1" applyAlignment="1" applyProtection="1">
      <alignment vertical="center"/>
      <protection hidden="1"/>
    </xf>
    <xf numFmtId="0" fontId="29" fillId="9" borderId="28" xfId="0" applyFont="1" applyFill="1" applyBorder="1" applyAlignment="1" applyProtection="1">
      <alignment vertical="center" wrapText="1"/>
      <protection hidden="1"/>
    </xf>
    <xf numFmtId="0" fontId="7" fillId="9" borderId="29" xfId="0" applyFont="1" applyFill="1" applyBorder="1" applyAlignment="1" applyProtection="1">
      <alignment vertical="center"/>
      <protection hidden="1"/>
    </xf>
    <xf numFmtId="0" fontId="2" fillId="10" borderId="3" xfId="0" applyFont="1" applyFill="1" applyBorder="1" applyAlignment="1" applyProtection="1">
      <alignment horizontal="center" vertical="center" wrapText="1"/>
      <protection hidden="1"/>
    </xf>
    <xf numFmtId="0" fontId="2" fillId="9" borderId="3" xfId="0" applyFont="1" applyFill="1" applyBorder="1" applyAlignment="1" applyProtection="1">
      <alignment horizontal="center" vertical="center" wrapText="1"/>
      <protection hidden="1"/>
    </xf>
    <xf numFmtId="0" fontId="1" fillId="9" borderId="1" xfId="0" applyFont="1" applyFill="1" applyBorder="1" applyAlignment="1" applyProtection="1">
      <alignment horizontal="left" vertical="center"/>
      <protection hidden="1"/>
    </xf>
    <xf numFmtId="0" fontId="1" fillId="9" borderId="4" xfId="0" applyFont="1" applyFill="1" applyBorder="1" applyAlignment="1" applyProtection="1">
      <alignment horizontal="left" vertical="center"/>
      <protection hidden="1"/>
    </xf>
    <xf numFmtId="0" fontId="1" fillId="39" borderId="4" xfId="0" applyFont="1" applyFill="1" applyBorder="1" applyAlignment="1" applyProtection="1">
      <alignment horizontal="left" vertical="center"/>
      <protection hidden="1"/>
    </xf>
    <xf numFmtId="164" fontId="1" fillId="9" borderId="4" xfId="0" applyNumberFormat="1" applyFont="1" applyFill="1" applyBorder="1" applyAlignment="1" applyProtection="1">
      <alignment horizontal="right" vertical="center" wrapText="1" indent="1"/>
      <protection hidden="1"/>
    </xf>
    <xf numFmtId="168" fontId="30" fillId="38" borderId="3" xfId="0" applyNumberFormat="1" applyFont="1" applyFill="1" applyBorder="1" applyAlignment="1" applyProtection="1">
      <alignment horizontal="center"/>
      <protection hidden="1"/>
    </xf>
    <xf numFmtId="0" fontId="0" fillId="40" borderId="34" xfId="0" applyFill="1" applyBorder="1" applyAlignment="1" applyProtection="1">
      <alignment horizontal="center"/>
      <protection locked="0"/>
    </xf>
    <xf numFmtId="0" fontId="0" fillId="40" borderId="35" xfId="0" applyFill="1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14" fontId="0" fillId="0" borderId="35" xfId="0" applyNumberFormat="1" applyBorder="1" applyAlignment="1" applyProtection="1">
      <alignment horizontal="center"/>
      <protection locked="0"/>
    </xf>
    <xf numFmtId="168" fontId="0" fillId="41" borderId="35" xfId="0" applyNumberFormat="1" applyFill="1" applyBorder="1" applyAlignment="1" applyProtection="1">
      <alignment horizontal="center"/>
      <protection hidden="1"/>
    </xf>
    <xf numFmtId="168" fontId="30" fillId="38" borderId="36" xfId="0" applyNumberFormat="1" applyFont="1" applyFill="1" applyBorder="1" applyAlignment="1" applyProtection="1">
      <alignment horizontal="center"/>
      <protection hidden="1"/>
    </xf>
    <xf numFmtId="0" fontId="0" fillId="2" borderId="37" xfId="0" applyFill="1" applyBorder="1" applyProtection="1">
      <protection hidden="1"/>
    </xf>
    <xf numFmtId="0" fontId="0" fillId="2" borderId="38" xfId="0" applyFill="1" applyBorder="1" applyProtection="1">
      <protection hidden="1"/>
    </xf>
    <xf numFmtId="0" fontId="30" fillId="38" borderId="34" xfId="0" applyFont="1" applyFill="1" applyBorder="1" applyAlignment="1" applyProtection="1">
      <alignment horizontal="center"/>
      <protection hidden="1"/>
    </xf>
    <xf numFmtId="0" fontId="1" fillId="13" borderId="31" xfId="0" applyFont="1" applyFill="1" applyBorder="1" applyAlignment="1" applyProtection="1">
      <alignment horizontal="left" wrapText="1"/>
      <protection hidden="1"/>
    </xf>
    <xf numFmtId="168" fontId="30" fillId="38" borderId="42" xfId="0" applyNumberFormat="1" applyFont="1" applyFill="1" applyBorder="1" applyAlignment="1" applyProtection="1">
      <alignment horizontal="center"/>
      <protection hidden="1"/>
    </xf>
    <xf numFmtId="168" fontId="0" fillId="41" borderId="1" xfId="0" applyNumberFormat="1" applyFill="1" applyBorder="1" applyAlignment="1" applyProtection="1">
      <alignment horizontal="center"/>
      <protection hidden="1"/>
    </xf>
    <xf numFmtId="10" fontId="0" fillId="13" borderId="6" xfId="0" applyNumberFormat="1" applyFill="1" applyBorder="1" applyAlignment="1" applyProtection="1">
      <alignment horizontal="center"/>
      <protection hidden="1"/>
    </xf>
    <xf numFmtId="10" fontId="26" fillId="13" borderId="4" xfId="0" applyNumberFormat="1" applyFont="1" applyFill="1" applyBorder="1" applyAlignment="1" applyProtection="1">
      <alignment horizontal="center"/>
      <protection hidden="1"/>
    </xf>
    <xf numFmtId="0" fontId="0" fillId="13" borderId="37" xfId="0" applyFill="1" applyBorder="1" applyProtection="1">
      <protection hidden="1"/>
    </xf>
    <xf numFmtId="0" fontId="0" fillId="13" borderId="38" xfId="0" applyFill="1" applyBorder="1" applyProtection="1">
      <protection hidden="1"/>
    </xf>
    <xf numFmtId="0" fontId="13" fillId="2" borderId="3" xfId="0" applyFont="1" applyFill="1" applyBorder="1" applyProtection="1">
      <protection hidden="1"/>
    </xf>
    <xf numFmtId="0" fontId="1" fillId="13" borderId="33" xfId="0" applyFont="1" applyFill="1" applyBorder="1" applyAlignment="1" applyProtection="1">
      <alignment horizontal="left" wrapText="1"/>
      <protection hidden="1"/>
    </xf>
    <xf numFmtId="0" fontId="1" fillId="13" borderId="2" xfId="0" applyFont="1" applyFill="1" applyBorder="1" applyAlignment="1" applyProtection="1">
      <alignment horizontal="left" wrapText="1"/>
      <protection hidden="1"/>
    </xf>
    <xf numFmtId="0" fontId="0" fillId="42" borderId="45" xfId="0" applyFill="1" applyBorder="1" applyProtection="1">
      <protection hidden="1"/>
    </xf>
    <xf numFmtId="0" fontId="0" fillId="43" borderId="46" xfId="0" applyFill="1" applyBorder="1" applyProtection="1">
      <protection hidden="1"/>
    </xf>
    <xf numFmtId="0" fontId="0" fillId="42" borderId="46" xfId="0" applyFill="1" applyBorder="1" applyProtection="1">
      <protection hidden="1"/>
    </xf>
    <xf numFmtId="168" fontId="0" fillId="0" borderId="0" xfId="0" applyNumberFormat="1" applyProtection="1">
      <protection hidden="1"/>
    </xf>
    <xf numFmtId="4" fontId="7" fillId="6" borderId="3" xfId="0" applyNumberFormat="1" applyFont="1" applyFill="1" applyBorder="1" applyAlignment="1" applyProtection="1">
      <alignment horizontal="center"/>
      <protection hidden="1"/>
    </xf>
    <xf numFmtId="0" fontId="1" fillId="9" borderId="5" xfId="0" applyFont="1" applyFill="1" applyBorder="1" applyAlignment="1" applyProtection="1">
      <alignment horizontal="left" vertical="center"/>
      <protection hidden="1"/>
    </xf>
    <xf numFmtId="168" fontId="0" fillId="9" borderId="43" xfId="0" applyNumberFormat="1" applyFill="1" applyBorder="1" applyAlignment="1" applyProtection="1">
      <alignment horizontal="center"/>
      <protection locked="0"/>
    </xf>
    <xf numFmtId="10" fontId="0" fillId="9" borderId="3" xfId="1" applyNumberFormat="1" applyFont="1" applyFill="1" applyBorder="1" applyAlignment="1" applyProtection="1">
      <alignment horizontal="center"/>
      <protection locked="0"/>
    </xf>
    <xf numFmtId="4" fontId="21" fillId="45" borderId="3" xfId="0" applyNumberFormat="1" applyFont="1" applyFill="1" applyBorder="1" applyAlignment="1" applyProtection="1">
      <alignment horizontal="center" vertical="top"/>
      <protection hidden="1"/>
    </xf>
    <xf numFmtId="0" fontId="0" fillId="42" borderId="52" xfId="0" applyFill="1" applyBorder="1" applyProtection="1">
      <protection hidden="1"/>
    </xf>
    <xf numFmtId="14" fontId="0" fillId="0" borderId="43" xfId="0" applyNumberFormat="1" applyBorder="1" applyAlignment="1" applyProtection="1">
      <alignment horizontal="center"/>
      <protection locked="0"/>
    </xf>
    <xf numFmtId="0" fontId="0" fillId="43" borderId="52" xfId="0" applyFill="1" applyBorder="1" applyProtection="1">
      <protection hidden="1"/>
    </xf>
    <xf numFmtId="0" fontId="0" fillId="42" borderId="18" xfId="0" applyFill="1" applyBorder="1" applyProtection="1">
      <protection hidden="1"/>
    </xf>
    <xf numFmtId="0" fontId="0" fillId="43" borderId="47" xfId="0" applyFill="1" applyBorder="1" applyProtection="1">
      <protection hidden="1"/>
    </xf>
    <xf numFmtId="0" fontId="0" fillId="0" borderId="0" xfId="0" applyAlignment="1">
      <alignment horizontal="center" vertical="center" wrapText="1"/>
    </xf>
    <xf numFmtId="0" fontId="0" fillId="0" borderId="3" xfId="0" applyBorder="1"/>
    <xf numFmtId="0" fontId="0" fillId="2" borderId="3" xfId="0" applyFill="1" applyBorder="1" applyAlignment="1">
      <alignment horizontal="center"/>
    </xf>
    <xf numFmtId="9" fontId="0" fillId="0" borderId="0" xfId="0" applyNumberFormat="1"/>
    <xf numFmtId="6" fontId="35" fillId="2" borderId="3" xfId="0" applyNumberFormat="1" applyFont="1" applyFill="1" applyBorder="1" applyAlignment="1">
      <alignment horizontal="center" vertical="center" wrapText="1"/>
    </xf>
    <xf numFmtId="168" fontId="0" fillId="0" borderId="0" xfId="0" applyNumberFormat="1"/>
    <xf numFmtId="0" fontId="0" fillId="9" borderId="3" xfId="0" applyFill="1" applyBorder="1"/>
    <xf numFmtId="0" fontId="0" fillId="9" borderId="3" xfId="0" applyFill="1" applyBorder="1" applyAlignment="1">
      <alignment horizontal="center"/>
    </xf>
    <xf numFmtId="168" fontId="0" fillId="9" borderId="3" xfId="0" applyNumberFormat="1" applyFill="1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8" fontId="0" fillId="41" borderId="7" xfId="0" applyNumberFormat="1" applyFill="1" applyBorder="1" applyAlignment="1" applyProtection="1">
      <alignment horizontal="center"/>
      <protection hidden="1"/>
    </xf>
    <xf numFmtId="0" fontId="26" fillId="36" borderId="6" xfId="0" applyFont="1" applyFill="1" applyBorder="1" applyAlignment="1" applyProtection="1">
      <alignment horizontal="center" vertical="center" wrapText="1"/>
      <protection hidden="1"/>
    </xf>
    <xf numFmtId="4" fontId="26" fillId="36" borderId="4" xfId="0" applyNumberFormat="1" applyFont="1" applyFill="1" applyBorder="1" applyAlignment="1" applyProtection="1">
      <alignment horizontal="center"/>
      <protection hidden="1"/>
    </xf>
    <xf numFmtId="0" fontId="0" fillId="2" borderId="17" xfId="0" applyFill="1" applyBorder="1" applyAlignment="1" applyProtection="1">
      <alignment vertical="center" wrapText="1"/>
      <protection hidden="1"/>
    </xf>
    <xf numFmtId="0" fontId="26" fillId="36" borderId="17" xfId="0" applyFont="1" applyFill="1" applyBorder="1" applyAlignment="1" applyProtection="1">
      <alignment horizontal="center" vertical="center" wrapText="1"/>
      <protection hidden="1"/>
    </xf>
    <xf numFmtId="4" fontId="0" fillId="47" borderId="3" xfId="0" applyNumberFormat="1" applyFill="1" applyBorder="1"/>
    <xf numFmtId="169" fontId="0" fillId="0" borderId="0" xfId="1" applyNumberFormat="1" applyFont="1"/>
    <xf numFmtId="9" fontId="26" fillId="36" borderId="17" xfId="1" applyFont="1" applyFill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right"/>
      <protection hidden="1"/>
    </xf>
    <xf numFmtId="0" fontId="36" fillId="2" borderId="0" xfId="0" applyFont="1" applyFill="1" applyAlignment="1" applyProtection="1">
      <alignment horizontal="right"/>
      <protection hidden="1"/>
    </xf>
    <xf numFmtId="4" fontId="0" fillId="0" borderId="0" xfId="0" applyNumberFormat="1"/>
    <xf numFmtId="4" fontId="0" fillId="0" borderId="3" xfId="0" applyNumberFormat="1" applyBorder="1"/>
    <xf numFmtId="10" fontId="0" fillId="0" borderId="0" xfId="0" applyNumberFormat="1" applyProtection="1">
      <protection hidden="1"/>
    </xf>
    <xf numFmtId="10" fontId="26" fillId="4" borderId="4" xfId="0" applyNumberFormat="1" applyFont="1" applyFill="1" applyBorder="1" applyAlignment="1" applyProtection="1">
      <alignment horizontal="center"/>
      <protection hidden="1"/>
    </xf>
    <xf numFmtId="0" fontId="0" fillId="42" borderId="33" xfId="0" applyFill="1" applyBorder="1" applyProtection="1">
      <protection hidden="1"/>
    </xf>
    <xf numFmtId="0" fontId="38" fillId="2" borderId="3" xfId="2" applyFont="1" applyFill="1" applyBorder="1" applyProtection="1">
      <protection hidden="1"/>
    </xf>
    <xf numFmtId="8" fontId="0" fillId="45" borderId="3" xfId="0" applyNumberFormat="1" applyFill="1" applyBorder="1" applyAlignment="1" applyProtection="1">
      <alignment horizontal="right"/>
      <protection hidden="1"/>
    </xf>
    <xf numFmtId="0" fontId="30" fillId="0" borderId="3" xfId="0" applyFont="1" applyBorder="1" applyAlignment="1" applyProtection="1">
      <alignment horizontal="center"/>
      <protection hidden="1"/>
    </xf>
    <xf numFmtId="0" fontId="0" fillId="9" borderId="3" xfId="0" applyFill="1" applyBorder="1" applyProtection="1">
      <protection hidden="1"/>
    </xf>
    <xf numFmtId="0" fontId="0" fillId="47" borderId="3" xfId="0" applyFill="1" applyBorder="1" applyProtection="1">
      <protection hidden="1"/>
    </xf>
    <xf numFmtId="0" fontId="0" fillId="44" borderId="0" xfId="0" applyFill="1" applyProtection="1">
      <protection hidden="1"/>
    </xf>
    <xf numFmtId="0" fontId="0" fillId="41" borderId="3" xfId="0" applyFill="1" applyBorder="1" applyProtection="1">
      <protection hidden="1"/>
    </xf>
    <xf numFmtId="0" fontId="0" fillId="49" borderId="0" xfId="0" applyFill="1" applyProtection="1">
      <protection hidden="1"/>
    </xf>
    <xf numFmtId="10" fontId="5" fillId="22" borderId="0" xfId="0" applyNumberFormat="1" applyFont="1" applyFill="1" applyProtection="1">
      <protection hidden="1"/>
    </xf>
    <xf numFmtId="10" fontId="0" fillId="4" borderId="6" xfId="0" applyNumberFormat="1" applyFill="1" applyBorder="1" applyAlignment="1" applyProtection="1">
      <alignment horizontal="center" vertical="center" wrapText="1"/>
      <protection hidden="1"/>
    </xf>
    <xf numFmtId="10" fontId="0" fillId="4" borderId="17" xfId="0" applyNumberFormat="1" applyFill="1" applyBorder="1" applyAlignment="1" applyProtection="1">
      <alignment horizontal="center" vertical="center" wrapText="1"/>
      <protection hidden="1"/>
    </xf>
    <xf numFmtId="0" fontId="1" fillId="13" borderId="33" xfId="0" applyFont="1" applyFill="1" applyBorder="1" applyAlignment="1" applyProtection="1">
      <alignment horizontal="left" wrapText="1"/>
      <protection hidden="1"/>
    </xf>
    <xf numFmtId="0" fontId="1" fillId="13" borderId="2" xfId="0" applyFont="1" applyFill="1" applyBorder="1" applyAlignment="1" applyProtection="1">
      <alignment horizontal="left" wrapText="1"/>
      <protection hidden="1"/>
    </xf>
    <xf numFmtId="0" fontId="1" fillId="13" borderId="33" xfId="0" applyFont="1" applyFill="1" applyBorder="1" applyAlignment="1" applyProtection="1">
      <alignment horizontal="left"/>
      <protection hidden="1"/>
    </xf>
    <xf numFmtId="0" fontId="1" fillId="13" borderId="2" xfId="0" applyFont="1" applyFill="1" applyBorder="1" applyAlignment="1" applyProtection="1">
      <alignment horizontal="left"/>
      <protection hidden="1"/>
    </xf>
    <xf numFmtId="0" fontId="32" fillId="44" borderId="56" xfId="0" applyFont="1" applyFill="1" applyBorder="1" applyAlignment="1" applyProtection="1">
      <alignment horizontal="center"/>
      <protection hidden="1"/>
    </xf>
    <xf numFmtId="0" fontId="32" fillId="44" borderId="57" xfId="0" applyFont="1" applyFill="1" applyBorder="1" applyAlignment="1" applyProtection="1">
      <alignment horizontal="center"/>
      <protection hidden="1"/>
    </xf>
    <xf numFmtId="0" fontId="32" fillId="44" borderId="58" xfId="0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 wrapText="1"/>
      <protection hidden="1"/>
    </xf>
    <xf numFmtId="0" fontId="1" fillId="4" borderId="2" xfId="0" applyFont="1" applyFill="1" applyBorder="1" applyAlignment="1" applyProtection="1">
      <alignment horizontal="center" wrapText="1"/>
      <protection hidden="1"/>
    </xf>
    <xf numFmtId="0" fontId="2" fillId="4" borderId="40" xfId="0" applyFont="1" applyFill="1" applyBorder="1" applyAlignment="1" applyProtection="1">
      <alignment horizontal="center" wrapText="1"/>
      <protection hidden="1"/>
    </xf>
    <xf numFmtId="0" fontId="2" fillId="4" borderId="41" xfId="0" applyFont="1" applyFill="1" applyBorder="1" applyAlignment="1" applyProtection="1">
      <alignment horizontal="center" wrapText="1"/>
      <protection hidden="1"/>
    </xf>
    <xf numFmtId="0" fontId="8" fillId="6" borderId="1" xfId="0" applyFont="1" applyFill="1" applyBorder="1" applyAlignment="1" applyProtection="1">
      <alignment horizontal="center"/>
      <protection hidden="1"/>
    </xf>
    <xf numFmtId="0" fontId="8" fillId="6" borderId="2" xfId="0" applyFont="1" applyFill="1" applyBorder="1" applyAlignment="1" applyProtection="1">
      <alignment horizontal="center"/>
      <protection hidden="1"/>
    </xf>
    <xf numFmtId="0" fontId="2" fillId="13" borderId="31" xfId="0" applyFont="1" applyFill="1" applyBorder="1" applyAlignment="1" applyProtection="1">
      <alignment horizontal="left" vertical="center"/>
      <protection hidden="1"/>
    </xf>
    <xf numFmtId="0" fontId="2" fillId="13" borderId="3" xfId="0" applyFont="1" applyFill="1" applyBorder="1" applyAlignment="1" applyProtection="1">
      <alignment horizontal="left" vertical="center"/>
      <protection hidden="1"/>
    </xf>
    <xf numFmtId="0" fontId="1" fillId="40" borderId="31" xfId="0" applyFont="1" applyFill="1" applyBorder="1" applyAlignment="1" applyProtection="1">
      <alignment horizontal="left" vertical="center"/>
      <protection hidden="1"/>
    </xf>
    <xf numFmtId="0" fontId="1" fillId="40" borderId="3" xfId="0" applyFont="1" applyFill="1" applyBorder="1" applyAlignment="1" applyProtection="1">
      <alignment horizontal="left" vertical="center"/>
      <protection hidden="1"/>
    </xf>
    <xf numFmtId="0" fontId="1" fillId="40" borderId="51" xfId="0" applyFont="1" applyFill="1" applyBorder="1" applyAlignment="1" applyProtection="1">
      <alignment horizontal="left" vertical="center"/>
      <protection hidden="1"/>
    </xf>
    <xf numFmtId="0" fontId="1" fillId="40" borderId="6" xfId="0" applyFont="1" applyFill="1" applyBorder="1" applyAlignment="1" applyProtection="1">
      <alignment horizontal="left" vertical="center"/>
      <protection hidden="1"/>
    </xf>
    <xf numFmtId="0" fontId="7" fillId="13" borderId="33" xfId="0" applyFont="1" applyFill="1" applyBorder="1" applyAlignment="1" applyProtection="1">
      <alignment horizontal="left"/>
      <protection hidden="1"/>
    </xf>
    <xf numFmtId="0" fontId="7" fillId="13" borderId="2" xfId="0" applyFont="1" applyFill="1" applyBorder="1" applyAlignment="1" applyProtection="1">
      <alignment horizontal="left"/>
      <protection hidden="1"/>
    </xf>
    <xf numFmtId="0" fontId="0" fillId="46" borderId="31" xfId="0" applyFill="1" applyBorder="1" applyAlignment="1" applyProtection="1">
      <alignment horizontal="left"/>
      <protection locked="0"/>
    </xf>
    <xf numFmtId="0" fontId="0" fillId="46" borderId="3" xfId="0" applyFill="1" applyBorder="1" applyAlignment="1" applyProtection="1">
      <alignment horizontal="left"/>
      <protection locked="0"/>
    </xf>
    <xf numFmtId="0" fontId="0" fillId="46" borderId="32" xfId="0" applyFill="1" applyBorder="1" applyAlignment="1" applyProtection="1">
      <alignment horizontal="left"/>
      <protection locked="0"/>
    </xf>
    <xf numFmtId="0" fontId="0" fillId="46" borderId="39" xfId="0" applyFill="1" applyBorder="1" applyAlignment="1" applyProtection="1">
      <alignment horizontal="left"/>
      <protection locked="0"/>
    </xf>
    <xf numFmtId="0" fontId="1" fillId="13" borderId="30" xfId="0" applyFont="1" applyFill="1" applyBorder="1" applyAlignment="1" applyProtection="1">
      <alignment horizontal="left" vertical="center"/>
      <protection hidden="1"/>
    </xf>
    <xf numFmtId="0" fontId="1" fillId="13" borderId="44" xfId="0" applyFont="1" applyFill="1" applyBorder="1" applyAlignment="1" applyProtection="1">
      <alignment horizontal="left" vertical="center"/>
      <protection hidden="1"/>
    </xf>
    <xf numFmtId="0" fontId="1" fillId="13" borderId="31" xfId="0" applyFont="1" applyFill="1" applyBorder="1" applyAlignment="1" applyProtection="1">
      <alignment horizontal="left" vertical="center"/>
      <protection hidden="1"/>
    </xf>
    <xf numFmtId="0" fontId="1" fillId="13" borderId="3" xfId="0" applyFont="1" applyFill="1" applyBorder="1" applyAlignment="1" applyProtection="1">
      <alignment horizontal="left" vertical="center"/>
      <protection hidden="1"/>
    </xf>
    <xf numFmtId="0" fontId="1" fillId="13" borderId="33" xfId="0" applyFont="1" applyFill="1" applyBorder="1" applyAlignment="1" applyProtection="1">
      <alignment horizontal="left" vertical="center"/>
      <protection hidden="1"/>
    </xf>
    <xf numFmtId="0" fontId="1" fillId="13" borderId="2" xfId="0" applyFont="1" applyFill="1" applyBorder="1" applyAlignment="1" applyProtection="1">
      <alignment horizontal="left" vertical="center"/>
      <protection hidden="1"/>
    </xf>
    <xf numFmtId="0" fontId="7" fillId="40" borderId="31" xfId="0" applyFont="1" applyFill="1" applyBorder="1" applyAlignment="1" applyProtection="1">
      <alignment horizontal="left" vertical="center"/>
      <protection hidden="1"/>
    </xf>
    <xf numFmtId="0" fontId="7" fillId="40" borderId="3" xfId="0" applyFont="1" applyFill="1" applyBorder="1" applyAlignment="1" applyProtection="1">
      <alignment horizontal="left" vertical="center"/>
      <protection hidden="1"/>
    </xf>
    <xf numFmtId="0" fontId="8" fillId="13" borderId="31" xfId="0" applyFont="1" applyFill="1" applyBorder="1" applyAlignment="1" applyProtection="1">
      <alignment horizontal="left" vertical="center"/>
      <protection hidden="1"/>
    </xf>
    <xf numFmtId="0" fontId="8" fillId="13" borderId="3" xfId="0" applyFont="1" applyFill="1" applyBorder="1" applyAlignment="1" applyProtection="1">
      <alignment horizontal="left" vertical="center"/>
      <protection hidden="1"/>
    </xf>
    <xf numFmtId="0" fontId="31" fillId="48" borderId="37" xfId="0" applyFont="1" applyFill="1" applyBorder="1" applyAlignment="1" applyProtection="1">
      <alignment horizontal="center"/>
      <protection hidden="1"/>
    </xf>
    <xf numFmtId="0" fontId="31" fillId="48" borderId="38" xfId="0" applyFont="1" applyFill="1" applyBorder="1" applyAlignment="1" applyProtection="1">
      <alignment horizontal="center"/>
      <protection hidden="1"/>
    </xf>
    <xf numFmtId="0" fontId="31" fillId="48" borderId="48" xfId="0" applyFont="1" applyFill="1" applyBorder="1" applyAlignment="1" applyProtection="1">
      <alignment horizontal="center"/>
      <protection hidden="1"/>
    </xf>
    <xf numFmtId="0" fontId="32" fillId="48" borderId="40" xfId="0" applyFont="1" applyFill="1" applyBorder="1" applyAlignment="1" applyProtection="1">
      <alignment horizontal="center"/>
      <protection hidden="1"/>
    </xf>
    <xf numFmtId="0" fontId="32" fillId="48" borderId="49" xfId="0" applyFont="1" applyFill="1" applyBorder="1" applyAlignment="1" applyProtection="1">
      <alignment horizontal="center"/>
      <protection hidden="1"/>
    </xf>
    <xf numFmtId="0" fontId="32" fillId="48" borderId="50" xfId="0" applyFont="1" applyFill="1" applyBorder="1" applyAlignment="1" applyProtection="1">
      <alignment horizontal="center"/>
      <protection hidden="1"/>
    </xf>
    <xf numFmtId="0" fontId="1" fillId="46" borderId="53" xfId="0" applyFont="1" applyFill="1" applyBorder="1" applyAlignment="1" applyProtection="1">
      <alignment horizontal="left" vertical="center"/>
      <protection locked="0"/>
    </xf>
    <xf numFmtId="0" fontId="1" fillId="46" borderId="54" xfId="0" applyFont="1" applyFill="1" applyBorder="1" applyAlignment="1" applyProtection="1">
      <alignment horizontal="left" vertical="center"/>
      <protection locked="0"/>
    </xf>
    <xf numFmtId="0" fontId="1" fillId="46" borderId="55" xfId="0" applyFont="1" applyFill="1" applyBorder="1" applyAlignment="1" applyProtection="1">
      <alignment horizontal="left" vertical="center"/>
      <protection locked="0"/>
    </xf>
    <xf numFmtId="0" fontId="1" fillId="13" borderId="31" xfId="0" applyFont="1" applyFill="1" applyBorder="1" applyAlignment="1" applyProtection="1">
      <alignment horizontal="left" wrapText="1"/>
      <protection hidden="1"/>
    </xf>
    <xf numFmtId="0" fontId="1" fillId="13" borderId="3" xfId="0" applyFont="1" applyFill="1" applyBorder="1" applyAlignment="1" applyProtection="1">
      <alignment horizontal="left" wrapText="1"/>
      <protection hidden="1"/>
    </xf>
    <xf numFmtId="0" fontId="2" fillId="4" borderId="25" xfId="0" applyFont="1" applyFill="1" applyBorder="1" applyAlignment="1" applyProtection="1">
      <alignment horizontal="center" wrapText="1"/>
      <protection hidden="1"/>
    </xf>
    <xf numFmtId="0" fontId="2" fillId="4" borderId="27" xfId="0" applyFont="1" applyFill="1" applyBorder="1" applyAlignment="1" applyProtection="1">
      <alignment horizontal="center" wrapText="1"/>
      <protection hidden="1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22" fillId="2" borderId="5" xfId="0" applyFont="1" applyFill="1" applyBorder="1" applyAlignment="1" applyProtection="1">
      <alignment horizontal="center" vertical="center"/>
      <protection locked="0"/>
    </xf>
    <xf numFmtId="0" fontId="8" fillId="16" borderId="18" xfId="0" applyFont="1" applyFill="1" applyBorder="1" applyAlignment="1" applyProtection="1">
      <alignment horizontal="center" vertical="center" wrapText="1"/>
      <protection hidden="1"/>
    </xf>
    <xf numFmtId="0" fontId="8" fillId="16" borderId="19" xfId="0" applyFont="1" applyFill="1" applyBorder="1" applyAlignment="1" applyProtection="1">
      <alignment horizontal="center" vertical="center" wrapText="1"/>
      <protection hidden="1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14" fillId="19" borderId="7" xfId="0" applyFont="1" applyFill="1" applyBorder="1" applyAlignment="1" applyProtection="1">
      <alignment horizontal="center" vertical="center"/>
      <protection hidden="1"/>
    </xf>
    <xf numFmtId="0" fontId="14" fillId="19" borderId="10" xfId="0" applyFont="1" applyFill="1" applyBorder="1" applyAlignment="1" applyProtection="1">
      <alignment horizontal="center" vertical="center"/>
      <protection hidden="1"/>
    </xf>
    <xf numFmtId="0" fontId="14" fillId="19" borderId="8" xfId="0" applyFont="1" applyFill="1" applyBorder="1" applyAlignment="1" applyProtection="1">
      <alignment horizontal="center" vertical="center"/>
      <protection hidden="1"/>
    </xf>
    <xf numFmtId="0" fontId="12" fillId="9" borderId="9" xfId="0" applyFont="1" applyFill="1" applyBorder="1" applyAlignment="1" applyProtection="1">
      <alignment horizontal="center" vertical="center"/>
      <protection hidden="1"/>
    </xf>
    <xf numFmtId="0" fontId="12" fillId="9" borderId="0" xfId="0" applyFont="1" applyFill="1" applyAlignment="1" applyProtection="1">
      <alignment horizontal="center" vertical="center"/>
      <protection hidden="1"/>
    </xf>
    <xf numFmtId="0" fontId="12" fillId="9" borderId="16" xfId="0" applyFont="1" applyFill="1" applyBorder="1" applyAlignment="1" applyProtection="1">
      <alignment horizontal="center" vertical="center"/>
      <protection hidden="1"/>
    </xf>
    <xf numFmtId="0" fontId="15" fillId="19" borderId="11" xfId="0" applyFont="1" applyFill="1" applyBorder="1" applyAlignment="1" applyProtection="1">
      <alignment horizontal="center" vertical="center"/>
      <protection hidden="1"/>
    </xf>
    <xf numFmtId="0" fontId="15" fillId="19" borderId="12" xfId="0" applyFont="1" applyFill="1" applyBorder="1" applyAlignment="1" applyProtection="1">
      <alignment horizontal="center" vertical="center"/>
      <protection hidden="1"/>
    </xf>
    <xf numFmtId="0" fontId="15" fillId="19" borderId="13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8" fillId="9" borderId="1" xfId="0" applyFont="1" applyFill="1" applyBorder="1" applyAlignment="1" applyProtection="1">
      <alignment horizontal="left" vertical="center"/>
      <protection hidden="1"/>
    </xf>
    <xf numFmtId="0" fontId="8" fillId="9" borderId="2" xfId="0" applyFont="1" applyFill="1" applyBorder="1" applyAlignment="1" applyProtection="1">
      <alignment horizontal="left" vertical="center"/>
      <protection hidden="1"/>
    </xf>
    <xf numFmtId="0" fontId="4" fillId="16" borderId="1" xfId="0" applyFont="1" applyFill="1" applyBorder="1" applyAlignment="1" applyProtection="1">
      <alignment horizontal="left" wrapText="1"/>
      <protection locked="0"/>
    </xf>
    <xf numFmtId="0" fontId="4" fillId="16" borderId="2" xfId="0" applyFont="1" applyFill="1" applyBorder="1" applyAlignment="1" applyProtection="1">
      <alignment horizontal="left" wrapText="1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9" fontId="2" fillId="2" borderId="4" xfId="0" applyNumberFormat="1" applyFont="1" applyFill="1" applyBorder="1" applyAlignment="1" applyProtection="1">
      <alignment horizontal="center" vertical="center"/>
      <protection locked="0"/>
    </xf>
    <xf numFmtId="167" fontId="2" fillId="38" borderId="1" xfId="0" applyNumberFormat="1" applyFont="1" applyFill="1" applyBorder="1" applyAlignment="1" applyProtection="1">
      <alignment horizontal="center" vertical="center"/>
      <protection locked="0"/>
    </xf>
    <xf numFmtId="167" fontId="2" fillId="38" borderId="2" xfId="0" applyNumberFormat="1" applyFont="1" applyFill="1" applyBorder="1" applyAlignment="1" applyProtection="1">
      <alignment horizontal="center" vertical="center"/>
      <protection locked="0"/>
    </xf>
    <xf numFmtId="1" fontId="2" fillId="9" borderId="1" xfId="0" applyNumberFormat="1" applyFont="1" applyFill="1" applyBorder="1" applyAlignment="1" applyProtection="1">
      <alignment horizontal="center" vertical="center"/>
      <protection locked="0"/>
    </xf>
    <xf numFmtId="1" fontId="2" fillId="9" borderId="2" xfId="0" applyNumberFormat="1" applyFont="1" applyFill="1" applyBorder="1" applyAlignment="1" applyProtection="1">
      <alignment horizontal="center" vertical="center"/>
      <protection locked="0"/>
    </xf>
    <xf numFmtId="10" fontId="2" fillId="2" borderId="1" xfId="0" applyNumberFormat="1" applyFont="1" applyFill="1" applyBorder="1" applyAlignment="1" applyProtection="1">
      <alignment horizontal="center" vertical="center"/>
      <protection locked="0"/>
    </xf>
    <xf numFmtId="10" fontId="2" fillId="2" borderId="2" xfId="0" applyNumberFormat="1" applyFont="1" applyFill="1" applyBorder="1" applyAlignment="1" applyProtection="1">
      <alignment horizontal="center" vertical="center"/>
      <protection locked="0"/>
    </xf>
    <xf numFmtId="10" fontId="2" fillId="2" borderId="3" xfId="0" applyNumberFormat="1" applyFont="1" applyFill="1" applyBorder="1" applyAlignment="1" applyProtection="1">
      <alignment horizontal="center" vertical="center"/>
      <protection locked="0"/>
    </xf>
    <xf numFmtId="0" fontId="8" fillId="6" borderId="3" xfId="0" applyFont="1" applyFill="1" applyBorder="1" applyAlignment="1" applyProtection="1">
      <alignment horizontal="center" vertical="center"/>
      <protection hidden="1"/>
    </xf>
    <xf numFmtId="0" fontId="8" fillId="32" borderId="1" xfId="0" applyFont="1" applyFill="1" applyBorder="1" applyAlignment="1" applyProtection="1">
      <alignment horizontal="center" vertical="center"/>
      <protection hidden="1"/>
    </xf>
    <xf numFmtId="0" fontId="8" fillId="32" borderId="2" xfId="0" applyFont="1" applyFill="1" applyBorder="1" applyAlignment="1" applyProtection="1">
      <alignment horizontal="center" vertical="center"/>
      <protection hidden="1"/>
    </xf>
    <xf numFmtId="0" fontId="8" fillId="38" borderId="1" xfId="0" applyFont="1" applyFill="1" applyBorder="1" applyAlignment="1" applyProtection="1">
      <alignment horizontal="center" vertical="center"/>
      <protection hidden="1"/>
    </xf>
    <xf numFmtId="0" fontId="8" fillId="38" borderId="2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8" fillId="8" borderId="5" xfId="0" applyFont="1" applyFill="1" applyBorder="1" applyAlignment="1" applyProtection="1">
      <alignment horizontal="center" vertical="center"/>
      <protection hidden="1"/>
    </xf>
    <xf numFmtId="0" fontId="8" fillId="8" borderId="2" xfId="0" applyFont="1" applyFill="1" applyBorder="1" applyAlignment="1" applyProtection="1">
      <alignment horizontal="center" vertical="center"/>
      <protection hidden="1"/>
    </xf>
    <xf numFmtId="0" fontId="2" fillId="12" borderId="3" xfId="0" applyFont="1" applyFill="1" applyBorder="1" applyAlignment="1" applyProtection="1">
      <alignment horizontal="center" wrapText="1"/>
      <protection hidden="1"/>
    </xf>
    <xf numFmtId="164" fontId="19" fillId="17" borderId="3" xfId="0" applyNumberFormat="1" applyFont="1" applyFill="1" applyBorder="1" applyProtection="1">
      <protection hidden="1"/>
    </xf>
    <xf numFmtId="0" fontId="16" fillId="0" borderId="1" xfId="0" applyFont="1" applyBorder="1" applyAlignment="1" applyProtection="1">
      <alignment horizontal="left"/>
      <protection locked="0"/>
    </xf>
    <xf numFmtId="0" fontId="16" fillId="0" borderId="2" xfId="0" applyFont="1" applyBorder="1" applyAlignment="1" applyProtection="1">
      <alignment horizontal="left"/>
      <protection locked="0"/>
    </xf>
    <xf numFmtId="0" fontId="17" fillId="14" borderId="9" xfId="0" applyFont="1" applyFill="1" applyBorder="1" applyAlignment="1" applyProtection="1">
      <alignment horizontal="center"/>
      <protection hidden="1"/>
    </xf>
    <xf numFmtId="0" fontId="17" fillId="14" borderId="0" xfId="0" applyFont="1" applyFill="1" applyAlignment="1" applyProtection="1">
      <alignment horizontal="center"/>
      <protection hidden="1"/>
    </xf>
    <xf numFmtId="0" fontId="18" fillId="9" borderId="3" xfId="0" applyFont="1" applyFill="1" applyBorder="1" applyAlignment="1" applyProtection="1">
      <alignment horizontal="center"/>
      <protection hidden="1"/>
    </xf>
    <xf numFmtId="4" fontId="0" fillId="18" borderId="3" xfId="0" applyNumberFormat="1" applyFill="1" applyBorder="1" applyAlignment="1" applyProtection="1">
      <alignment horizontal="right" vertical="center"/>
      <protection hidden="1"/>
    </xf>
    <xf numFmtId="0" fontId="16" fillId="0" borderId="1" xfId="0" applyFont="1" applyBorder="1" applyAlignment="1" applyProtection="1">
      <alignment horizontal="left"/>
      <protection hidden="1"/>
    </xf>
    <xf numFmtId="0" fontId="16" fillId="0" borderId="2" xfId="0" applyFont="1" applyBorder="1" applyAlignment="1" applyProtection="1">
      <alignment horizontal="left"/>
      <protection hidden="1"/>
    </xf>
    <xf numFmtId="0" fontId="34" fillId="6" borderId="0" xfId="0" applyFont="1" applyFill="1" applyAlignment="1" applyProtection="1">
      <alignment horizontal="center"/>
      <protection hidden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4BD0FF"/>
      <color rgb="FFE8D9F3"/>
      <color rgb="FFEADCF4"/>
      <color rgb="FFFEECDE"/>
      <color rgb="FFF9B277"/>
      <color rgb="FFFFFFB7"/>
      <color rgb="FFF58223"/>
      <color rgb="FFDAC2EC"/>
      <color rgb="FFFABA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entesdecanarias.org/dci/index.php/computos-de-las-pagas-extr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5C051-D15F-4031-9629-21A71EF493C5}">
  <dimension ref="A1:BA147"/>
  <sheetViews>
    <sheetView tabSelected="1" workbookViewId="0">
      <selection activeCell="F9" sqref="F9"/>
    </sheetView>
  </sheetViews>
  <sheetFormatPr baseColWidth="10" defaultRowHeight="15" x14ac:dyDescent="0.25"/>
  <cols>
    <col min="1" max="1" width="4.5703125" style="38" customWidth="1"/>
    <col min="2" max="2" width="57.5703125" style="38" customWidth="1"/>
    <col min="3" max="3" width="9.28515625" style="38" customWidth="1"/>
    <col min="4" max="4" width="53" style="38" customWidth="1"/>
    <col min="5" max="5" width="45.85546875" style="38" bestFit="1" customWidth="1"/>
    <col min="6" max="6" width="35.28515625" style="38" bestFit="1" customWidth="1"/>
    <col min="7" max="7" width="33.140625" style="38" hidden="1" customWidth="1"/>
    <col min="8" max="8" width="49.28515625" style="38" hidden="1" customWidth="1"/>
    <col min="9" max="9" width="41.140625" style="38" hidden="1" customWidth="1"/>
    <col min="10" max="10" width="15.7109375" style="38" hidden="1" customWidth="1"/>
    <col min="11" max="11" width="8" style="38" hidden="1" customWidth="1"/>
    <col min="12" max="12" width="17.7109375" style="38" hidden="1" customWidth="1"/>
    <col min="13" max="13" width="31.140625" style="38" hidden="1" customWidth="1"/>
    <col min="14" max="19" width="11.42578125" style="38" hidden="1" customWidth="1"/>
    <col min="20" max="20" width="85.140625" style="1" hidden="1" customWidth="1"/>
    <col min="21" max="21" width="8" style="1" hidden="1" customWidth="1"/>
    <col min="22" max="22" width="2" style="38" hidden="1" customWidth="1"/>
    <col min="23" max="25" width="0" style="38" hidden="1" customWidth="1"/>
    <col min="26" max="26" width="8" style="38" hidden="1" customWidth="1"/>
    <col min="27" max="55" width="0" style="38" hidden="1" customWidth="1"/>
    <col min="56" max="16384" width="11.42578125" style="38"/>
  </cols>
  <sheetData>
    <row r="1" spans="1:51" ht="23.25" x14ac:dyDescent="0.35">
      <c r="A1" s="40"/>
      <c r="B1" s="264" t="s">
        <v>264</v>
      </c>
      <c r="C1" s="265"/>
      <c r="D1" s="265"/>
      <c r="E1" s="266"/>
      <c r="F1" s="40"/>
      <c r="G1" s="183" t="s">
        <v>55</v>
      </c>
      <c r="H1" s="154" t="s">
        <v>54</v>
      </c>
      <c r="I1" s="154" t="s">
        <v>187</v>
      </c>
      <c r="J1" s="155" t="s">
        <v>212</v>
      </c>
      <c r="K1" s="156" t="s">
        <v>213</v>
      </c>
      <c r="L1" s="134" t="s">
        <v>211</v>
      </c>
      <c r="M1" s="142" t="s">
        <v>56</v>
      </c>
      <c r="T1" s="35"/>
      <c r="U1" s="35"/>
      <c r="AX1" s="40"/>
      <c r="AY1" s="40"/>
    </row>
    <row r="2" spans="1:51" ht="19.5" thickBot="1" x14ac:dyDescent="0.35">
      <c r="A2" s="40"/>
      <c r="B2" s="267" t="s">
        <v>354</v>
      </c>
      <c r="C2" s="268"/>
      <c r="D2" s="268"/>
      <c r="E2" s="269"/>
      <c r="F2" s="40"/>
      <c r="G2" s="36" t="s">
        <v>124</v>
      </c>
      <c r="H2" s="36" t="s">
        <v>66</v>
      </c>
      <c r="I2" s="38" t="s">
        <v>215</v>
      </c>
      <c r="J2" s="38" t="s">
        <v>219</v>
      </c>
      <c r="K2" s="38" t="s">
        <v>217</v>
      </c>
      <c r="L2" s="36" t="s">
        <v>193</v>
      </c>
      <c r="M2" s="1" t="s">
        <v>216</v>
      </c>
      <c r="T2" s="35"/>
      <c r="U2" s="35"/>
      <c r="V2" s="1"/>
      <c r="W2" s="1"/>
      <c r="X2" s="1"/>
      <c r="AX2" s="40"/>
      <c r="AY2" s="40"/>
    </row>
    <row r="3" spans="1:51" ht="8.25" customHeight="1" thickBot="1" x14ac:dyDescent="0.3">
      <c r="A3" s="40"/>
      <c r="B3" s="40"/>
      <c r="C3" s="40"/>
      <c r="D3" s="40"/>
      <c r="E3" s="40"/>
      <c r="F3" s="40"/>
      <c r="G3" s="36" t="s">
        <v>125</v>
      </c>
      <c r="H3" s="36" t="s">
        <v>67</v>
      </c>
      <c r="J3" s="38" t="s">
        <v>214</v>
      </c>
      <c r="K3" s="38" t="s">
        <v>218</v>
      </c>
      <c r="L3" s="36" t="s">
        <v>194</v>
      </c>
      <c r="M3" s="1" t="s">
        <v>48</v>
      </c>
      <c r="T3" s="35"/>
      <c r="U3" s="35"/>
      <c r="V3" s="1"/>
      <c r="W3" s="1"/>
      <c r="X3" s="1"/>
      <c r="AX3" s="40"/>
      <c r="AY3" s="40"/>
    </row>
    <row r="4" spans="1:51" ht="15.75" hidden="1" x14ac:dyDescent="0.25">
      <c r="A4" s="40"/>
      <c r="F4" s="40"/>
      <c r="G4" s="36" t="s">
        <v>57</v>
      </c>
      <c r="H4" s="36" t="s">
        <v>68</v>
      </c>
      <c r="M4" s="1" t="s">
        <v>49</v>
      </c>
      <c r="V4" s="1"/>
      <c r="W4" s="1"/>
      <c r="X4" s="1"/>
      <c r="AX4" s="40"/>
      <c r="AY4" s="40"/>
    </row>
    <row r="5" spans="1:51" ht="15.75" x14ac:dyDescent="0.25">
      <c r="A5" s="40"/>
      <c r="B5" s="254" t="s">
        <v>54</v>
      </c>
      <c r="C5" s="255"/>
      <c r="D5" s="159" t="s">
        <v>74</v>
      </c>
      <c r="E5" s="178" t="s">
        <v>236</v>
      </c>
      <c r="F5" s="40"/>
      <c r="H5" s="36" t="s">
        <v>69</v>
      </c>
      <c r="M5" s="1" t="s">
        <v>220</v>
      </c>
      <c r="V5" s="1"/>
      <c r="W5" s="1"/>
      <c r="X5" s="1"/>
      <c r="AX5" s="40"/>
      <c r="AY5" s="40"/>
    </row>
    <row r="6" spans="1:51" ht="15.75" x14ac:dyDescent="0.25">
      <c r="A6" s="40"/>
      <c r="B6" s="256" t="s">
        <v>55</v>
      </c>
      <c r="C6" s="257"/>
      <c r="D6" s="160" t="s">
        <v>57</v>
      </c>
      <c r="E6" s="179" t="s">
        <v>235</v>
      </c>
      <c r="F6" s="40"/>
      <c r="H6" s="36" t="s">
        <v>70</v>
      </c>
      <c r="V6" s="1"/>
      <c r="W6" s="1"/>
      <c r="X6" s="1"/>
      <c r="AX6" s="40"/>
      <c r="AY6" s="40"/>
    </row>
    <row r="7" spans="1:51" ht="15.75" hidden="1" x14ac:dyDescent="0.25">
      <c r="A7" s="40"/>
      <c r="B7" s="256"/>
      <c r="C7" s="257"/>
      <c r="D7" s="161"/>
      <c r="E7" s="180"/>
      <c r="F7" s="40"/>
      <c r="H7" s="36" t="s">
        <v>71</v>
      </c>
      <c r="V7" s="1"/>
      <c r="W7" s="1"/>
      <c r="X7" s="1"/>
      <c r="AX7" s="40"/>
      <c r="AY7" s="40"/>
    </row>
    <row r="8" spans="1:51" ht="15.75" x14ac:dyDescent="0.25">
      <c r="A8" s="40"/>
      <c r="B8" s="258" t="str">
        <f>IF(D6="Interino","Interino. Meses nombrados en el año 2022","")</f>
        <v>Interino. Meses nombrados en el año 2022</v>
      </c>
      <c r="C8" s="259"/>
      <c r="D8" s="161">
        <f>IF(D6="Interino",8,"")</f>
        <v>8</v>
      </c>
      <c r="E8" s="180" t="str">
        <f>IF(D6="Interino","Seleccionar número de meses del nombramiento","")</f>
        <v>Seleccionar número de meses del nombramiento</v>
      </c>
      <c r="F8" s="40"/>
      <c r="H8" s="36" t="s">
        <v>72</v>
      </c>
      <c r="V8" s="1"/>
      <c r="W8" s="1"/>
      <c r="X8" s="1"/>
      <c r="AX8" s="40"/>
      <c r="AY8" s="40"/>
    </row>
    <row r="9" spans="1:51" ht="15.75" x14ac:dyDescent="0.25">
      <c r="A9" s="40"/>
      <c r="B9" s="256" t="s">
        <v>222</v>
      </c>
      <c r="C9" s="257"/>
      <c r="D9" s="160" t="s">
        <v>214</v>
      </c>
      <c r="E9" s="179" t="s">
        <v>237</v>
      </c>
      <c r="F9" s="40"/>
      <c r="H9" s="36" t="s">
        <v>73</v>
      </c>
      <c r="V9" s="1"/>
      <c r="W9" s="1"/>
      <c r="X9" s="1"/>
      <c r="AX9" s="40"/>
      <c r="AY9" s="40"/>
    </row>
    <row r="10" spans="1:51" ht="15.75" x14ac:dyDescent="0.25">
      <c r="A10" s="40"/>
      <c r="B10" s="256" t="s">
        <v>191</v>
      </c>
      <c r="C10" s="257"/>
      <c r="D10" s="161">
        <v>12</v>
      </c>
      <c r="E10" s="180" t="s">
        <v>268</v>
      </c>
      <c r="F10" s="40"/>
      <c r="H10" s="36" t="s">
        <v>74</v>
      </c>
      <c r="V10" s="1"/>
      <c r="W10" s="1"/>
      <c r="X10" s="1"/>
      <c r="AX10" s="40"/>
      <c r="AY10" s="40"/>
    </row>
    <row r="11" spans="1:51" ht="15.75" x14ac:dyDescent="0.25">
      <c r="A11" s="40"/>
      <c r="B11" s="256" t="s">
        <v>192</v>
      </c>
      <c r="C11" s="257"/>
      <c r="D11" s="161">
        <v>12</v>
      </c>
      <c r="E11" s="179" t="s">
        <v>268</v>
      </c>
      <c r="F11" s="40"/>
      <c r="H11" s="36" t="s">
        <v>245</v>
      </c>
      <c r="V11" s="1"/>
      <c r="W11" s="1"/>
      <c r="X11" s="1"/>
      <c r="AX11" s="40"/>
      <c r="AY11" s="40"/>
    </row>
    <row r="12" spans="1:51" ht="15.75" x14ac:dyDescent="0.25">
      <c r="A12" s="40"/>
      <c r="B12" s="242" t="s">
        <v>224</v>
      </c>
      <c r="C12" s="243"/>
      <c r="D12" s="160" t="s">
        <v>217</v>
      </c>
      <c r="E12" s="180" t="s">
        <v>238</v>
      </c>
      <c r="F12" s="40"/>
      <c r="H12" s="36"/>
      <c r="V12" s="1"/>
      <c r="W12" s="1"/>
      <c r="X12" s="1"/>
      <c r="AX12" s="40"/>
      <c r="AY12" s="40"/>
    </row>
    <row r="13" spans="1:51" x14ac:dyDescent="0.25">
      <c r="A13" s="40"/>
      <c r="B13" s="244" t="str">
        <f>IF(D12="por Días","Días trabajados en el mes","")</f>
        <v/>
      </c>
      <c r="C13" s="245"/>
      <c r="D13" s="161"/>
      <c r="E13" s="179" t="str">
        <f>IF(D12="por Días","Introducir el número de días trabajado en el mes","")</f>
        <v/>
      </c>
      <c r="F13" s="40"/>
      <c r="G13" s="38">
        <v>1</v>
      </c>
      <c r="V13" s="1"/>
      <c r="W13" s="1"/>
      <c r="X13" s="1"/>
      <c r="AX13" s="40"/>
      <c r="AY13" s="40"/>
    </row>
    <row r="14" spans="1:51" x14ac:dyDescent="0.25">
      <c r="A14" s="40"/>
      <c r="B14" s="242" t="s">
        <v>211</v>
      </c>
      <c r="C14" s="243"/>
      <c r="D14" s="160" t="s">
        <v>193</v>
      </c>
      <c r="E14" s="180" t="s">
        <v>233</v>
      </c>
      <c r="F14" s="40"/>
      <c r="G14" s="38">
        <v>2</v>
      </c>
      <c r="H14" s="38">
        <v>1</v>
      </c>
      <c r="V14" s="1"/>
      <c r="W14" s="1"/>
      <c r="X14" s="1"/>
      <c r="AX14" s="40"/>
      <c r="AY14" s="40"/>
    </row>
    <row r="15" spans="1:51" x14ac:dyDescent="0.25">
      <c r="A15" s="40"/>
      <c r="B15" s="244" t="str">
        <f>IF(D14="Jornada Parcial","Número de hora semanal en jornada parcial","")</f>
        <v/>
      </c>
      <c r="C15" s="245"/>
      <c r="D15" s="161"/>
      <c r="E15" s="179" t="str">
        <f>IF(D14="Jornada Parcial","Introducir el número de horas semanales","")</f>
        <v/>
      </c>
      <c r="F15" s="40"/>
      <c r="G15" s="38">
        <v>3</v>
      </c>
      <c r="H15" s="38">
        <v>1.5</v>
      </c>
      <c r="V15" s="1"/>
      <c r="W15" s="1"/>
      <c r="X15" s="1"/>
      <c r="AX15" s="40"/>
      <c r="AY15" s="40"/>
    </row>
    <row r="16" spans="1:51" x14ac:dyDescent="0.25">
      <c r="A16" s="40"/>
      <c r="B16" s="262" t="s">
        <v>56</v>
      </c>
      <c r="C16" s="263"/>
      <c r="D16" s="160" t="s">
        <v>220</v>
      </c>
      <c r="E16" s="217" t="s">
        <v>234</v>
      </c>
      <c r="F16" s="218" t="s">
        <v>269</v>
      </c>
      <c r="G16" s="38">
        <v>4</v>
      </c>
      <c r="H16" s="38">
        <v>2</v>
      </c>
      <c r="V16" s="1"/>
      <c r="W16" s="1"/>
      <c r="X16" s="1"/>
      <c r="AX16" s="40"/>
      <c r="AY16" s="40"/>
    </row>
    <row r="17" spans="1:51" x14ac:dyDescent="0.25">
      <c r="A17" s="40"/>
      <c r="B17" s="260" t="str">
        <f>IF(AND(D16="Diciembre",D6="Interino"),"Días trabajados entre sep-oct-nov",IF(AND(D16="Junio",D6="Interino"),"Días trabajados entre dic-ene-feb-mar-abr-may",IF(AND(D16="Agosto (Interino)",D6="Interino"),"S. Base, Trienios y C. Destino. Días trabajados entre jun-jul-ago","")))</f>
        <v>S. Base, Trienios y C. Destino. Días trabajados entre jun-jul-ago</v>
      </c>
      <c r="C17" s="261"/>
      <c r="D17" s="161">
        <v>90</v>
      </c>
      <c r="E17" s="179" t="str">
        <f>IF(AND(D16="Diciembre",D6="Interino"),"Interinos: Introducir los días trabajados",IF(AND(D16="Junio",D6="Interino"),"Interinos: Introducir los días trabajados",IF(AND(D16="Agosto (Interino)",D6="Interino"),"","")))</f>
        <v/>
      </c>
      <c r="F17" s="40"/>
      <c r="G17" s="38">
        <v>5</v>
      </c>
      <c r="H17" s="38">
        <v>2.5</v>
      </c>
      <c r="V17" s="1"/>
      <c r="W17" s="1"/>
      <c r="X17" s="1"/>
      <c r="AX17" s="40"/>
      <c r="AY17" s="40"/>
    </row>
    <row r="18" spans="1:51" x14ac:dyDescent="0.25">
      <c r="A18" s="40"/>
      <c r="B18" s="260" t="str">
        <f>IF(AND(D16="Diciembre",D6="Interino"),"Días trabajados entre sep-oct-nov-dic",IF(AND(D16="Junio",D6="Interino"),"Días trabajados entre ene-feb-mar-abr-may-jun",IF(AND(D16="Agosto (Interino)",D6="Interino"),"Adicional Com. Específico. Días trabajados entre jul-ago","")))</f>
        <v>Adicional Com. Específico. Días trabajados entre jul-ago</v>
      </c>
      <c r="C18" s="261"/>
      <c r="D18" s="161">
        <v>60</v>
      </c>
      <c r="E18" s="180" t="str">
        <f>IF(AND(D16="Diciembre",D6="Interino"),"Interinos: Introducir los días trabajados",IF(AND(D16="Junio",D6="Interino"),"Interinos: Introducir los días trabajados",IF(AND(D16="Agosto (Interino)",D6="Interino"),"","")))</f>
        <v/>
      </c>
      <c r="F18" s="40"/>
      <c r="G18" s="38">
        <v>6</v>
      </c>
      <c r="H18" s="38">
        <v>3</v>
      </c>
      <c r="V18" s="1"/>
      <c r="W18" s="1"/>
      <c r="X18" s="1"/>
      <c r="AX18" s="40"/>
      <c r="AY18" s="40"/>
    </row>
    <row r="19" spans="1:51" x14ac:dyDescent="0.25">
      <c r="A19" s="40"/>
      <c r="B19" s="242" t="str">
        <f>IF(D6="Interino","Terminación de la sustitución. Vacaciones no disfrutadas","")</f>
        <v>Terminación de la sustitución. Vacaciones no disfrutadas</v>
      </c>
      <c r="C19" s="243"/>
      <c r="D19" s="160"/>
      <c r="E19" s="179"/>
      <c r="F19" s="40"/>
      <c r="G19" s="38">
        <v>7</v>
      </c>
      <c r="H19" s="38">
        <v>3.5</v>
      </c>
      <c r="V19" s="1"/>
      <c r="W19" s="1"/>
      <c r="X19" s="1"/>
      <c r="AX19" s="40"/>
      <c r="AY19" s="40"/>
    </row>
    <row r="20" spans="1:51" x14ac:dyDescent="0.25">
      <c r="A20" s="40"/>
      <c r="B20" s="244" t="str">
        <f>IF(D19="Sí","Fecha inicio sustitución","")</f>
        <v/>
      </c>
      <c r="C20" s="245"/>
      <c r="D20" s="162"/>
      <c r="E20" s="180" t="str">
        <f>IF(D19="Sí","Introducir la fecha inicio sustitución","")</f>
        <v/>
      </c>
      <c r="F20" s="40"/>
      <c r="G20" s="38">
        <v>8</v>
      </c>
      <c r="H20" s="38">
        <v>4</v>
      </c>
      <c r="V20" s="1"/>
      <c r="W20" s="1"/>
      <c r="X20" s="1"/>
      <c r="AX20" s="40"/>
      <c r="AY20" s="40"/>
    </row>
    <row r="21" spans="1:51" ht="15.75" thickBot="1" x14ac:dyDescent="0.3">
      <c r="A21" s="40"/>
      <c r="B21" s="246" t="str">
        <f>IF(D19="Sí","Fecha finalización sustitución","")</f>
        <v/>
      </c>
      <c r="C21" s="247"/>
      <c r="D21" s="188"/>
      <c r="E21" s="189" t="str">
        <f>IF(D19="Sí","Introducir la fecha finalización de la sustitución","")</f>
        <v/>
      </c>
      <c r="F21" s="40"/>
      <c r="G21" s="38">
        <v>9</v>
      </c>
      <c r="H21" s="38">
        <v>4.5</v>
      </c>
      <c r="V21" s="1"/>
      <c r="W21" s="1"/>
      <c r="X21" s="1"/>
      <c r="Z21" s="38">
        <f>+SexeniosPerdidos!N16</f>
        <v>5637.5700000000006</v>
      </c>
      <c r="AX21" s="40"/>
      <c r="AY21" s="40"/>
    </row>
    <row r="22" spans="1:51" x14ac:dyDescent="0.25">
      <c r="A22" s="40"/>
      <c r="B22" s="270" t="s">
        <v>231</v>
      </c>
      <c r="C22" s="271"/>
      <c r="D22" s="272"/>
      <c r="E22" s="190" t="s">
        <v>232</v>
      </c>
      <c r="F22" s="40"/>
      <c r="G22" s="38">
        <v>10</v>
      </c>
      <c r="H22" s="38">
        <v>5</v>
      </c>
      <c r="V22" s="1"/>
      <c r="W22" s="1"/>
      <c r="X22" s="1"/>
      <c r="AX22" s="40"/>
      <c r="AY22" s="40"/>
    </row>
    <row r="23" spans="1:51" x14ac:dyDescent="0.25">
      <c r="A23" s="40"/>
      <c r="B23" s="250" t="s">
        <v>227</v>
      </c>
      <c r="C23" s="251"/>
      <c r="D23" s="251"/>
      <c r="E23" s="179" t="s">
        <v>244</v>
      </c>
      <c r="F23" s="40"/>
      <c r="G23" s="38">
        <v>11</v>
      </c>
      <c r="H23" s="38">
        <v>5.5</v>
      </c>
      <c r="V23" s="1"/>
      <c r="W23" s="1"/>
      <c r="X23" s="1"/>
      <c r="AX23" s="40"/>
      <c r="AY23" s="40"/>
    </row>
    <row r="24" spans="1:51" x14ac:dyDescent="0.25">
      <c r="A24" s="40"/>
      <c r="B24" s="250" t="s">
        <v>228</v>
      </c>
      <c r="C24" s="251"/>
      <c r="D24" s="251"/>
      <c r="E24" s="187" t="s">
        <v>244</v>
      </c>
      <c r="F24" s="40"/>
      <c r="G24" s="38">
        <v>12</v>
      </c>
      <c r="H24" s="38">
        <v>6</v>
      </c>
      <c r="V24" s="1"/>
      <c r="W24" s="1"/>
      <c r="X24" s="1"/>
      <c r="AX24" s="40"/>
      <c r="AY24" s="40"/>
    </row>
    <row r="25" spans="1:51" ht="15.75" thickBot="1" x14ac:dyDescent="0.3">
      <c r="A25" s="40"/>
      <c r="B25" s="252" t="s">
        <v>229</v>
      </c>
      <c r="C25" s="253"/>
      <c r="D25" s="253"/>
      <c r="E25" s="191" t="s">
        <v>244</v>
      </c>
      <c r="F25" s="40"/>
      <c r="G25" s="38">
        <v>13</v>
      </c>
      <c r="H25" s="38">
        <v>6.5</v>
      </c>
      <c r="V25" s="1"/>
      <c r="W25" s="1"/>
      <c r="X25" s="1"/>
      <c r="AX25" s="40"/>
      <c r="AY25" s="40"/>
    </row>
    <row r="26" spans="1:51" ht="7.5" customHeight="1" thickBot="1" x14ac:dyDescent="0.3">
      <c r="A26" s="40"/>
      <c r="B26" s="40"/>
      <c r="C26" s="40"/>
      <c r="D26" s="40"/>
      <c r="E26" s="40"/>
      <c r="F26" s="40"/>
      <c r="G26" s="38">
        <v>14</v>
      </c>
      <c r="H26" s="38">
        <v>7</v>
      </c>
      <c r="V26" s="1"/>
      <c r="W26" s="1"/>
      <c r="X26" s="1"/>
      <c r="AX26" s="40"/>
      <c r="AY26" s="40"/>
    </row>
    <row r="27" spans="1:51" ht="18.75" x14ac:dyDescent="0.3">
      <c r="A27" s="40"/>
      <c r="B27" s="173"/>
      <c r="C27" s="174"/>
      <c r="D27" s="167" t="s">
        <v>221</v>
      </c>
      <c r="E27" s="40"/>
      <c r="F27" s="40"/>
      <c r="G27" s="38">
        <v>15</v>
      </c>
      <c r="H27" s="38">
        <v>7.5</v>
      </c>
      <c r="V27" s="1"/>
      <c r="W27" s="1"/>
      <c r="X27" s="1"/>
      <c r="AX27" s="40"/>
      <c r="AY27" s="40"/>
    </row>
    <row r="28" spans="1:51" x14ac:dyDescent="0.25">
      <c r="A28" s="40"/>
      <c r="B28" s="229" t="str">
        <f>CONCATENATE("Sueldo Base."," Grupo: ",+Retribuciones!T3)</f>
        <v>Sueldo Base. Grupo: A2</v>
      </c>
      <c r="C28" s="230"/>
      <c r="D28" s="163">
        <f>IF(AND(D$14=L$2,D$12=K$2),Nóminab!D22,IF(AND(D$14=L$3,D$12=K$2),Nóminab!F22,IF(AND(D$14=L$2,D$12=K$3),Nóminab!E22,IF(AND(D$14=L$3,D$12=K$3),Nóminab!G22,0))))</f>
        <v>1071.06</v>
      </c>
      <c r="E28" s="40"/>
      <c r="F28" s="40"/>
      <c r="G28" s="38">
        <v>16</v>
      </c>
      <c r="H28" s="38">
        <v>8</v>
      </c>
      <c r="V28" s="1"/>
      <c r="W28" s="1"/>
      <c r="X28" s="1"/>
      <c r="AX28" s="40"/>
      <c r="AY28" s="40"/>
    </row>
    <row r="29" spans="1:51" x14ac:dyDescent="0.25">
      <c r="A29" s="40"/>
      <c r="B29" s="248" t="str">
        <f>CONCATENATE("Trienios. Grupo: ",+Retribuciones!T3,". Nº trienios: ",INT(+D10/3))</f>
        <v>Trienios. Grupo: A2. Nº trienios: 4</v>
      </c>
      <c r="C29" s="249"/>
      <c r="D29" s="163">
        <f>IF(AND(D$14=L$2,D$12=K$2),Nóminab!D23,IF(AND(D$14=L$3,D$12=K$2),Nóminab!F23,IF(AND(D$14=L$2,D$12=K$3),Nóminab!E23,IF(AND(D$14=L$3,D$12=K$3),Nóminab!G23,0))))</f>
        <v>155.52000000000001</v>
      </c>
      <c r="E29" s="40"/>
      <c r="F29" s="40"/>
      <c r="G29" s="38">
        <v>17</v>
      </c>
      <c r="H29" s="38">
        <v>8.5</v>
      </c>
      <c r="V29" s="1"/>
      <c r="W29" s="1"/>
      <c r="X29" s="1"/>
      <c r="AX29" s="40"/>
      <c r="AY29" s="40"/>
    </row>
    <row r="30" spans="1:51" x14ac:dyDescent="0.25">
      <c r="A30" s="40"/>
      <c r="B30" s="229" t="str">
        <f>IF(D9="No capitalina","Residencia en isla No Capitalina","Residencia en isla Capitalina")</f>
        <v>Residencia en isla Capitalina</v>
      </c>
      <c r="C30" s="230"/>
      <c r="D30" s="163">
        <f>IF(AND(D$14=L$2,D$12=K$2),Nóminab!D24,IF(AND(D$14=L$3,D$12=K$2),Nóminab!F24,IF(AND(D$14=L$2,D$12=K$3),Nóminab!E24,IF(AND(D$14=L$3,D$12=K$3),Nóminab!G24,0))))</f>
        <v>130.98999999999998</v>
      </c>
      <c r="E30" s="40"/>
      <c r="F30" s="40"/>
      <c r="G30" s="38">
        <v>18</v>
      </c>
      <c r="H30" s="38">
        <v>9</v>
      </c>
      <c r="V30" s="1"/>
      <c r="W30" s="1"/>
      <c r="X30" s="1"/>
      <c r="AX30" s="40"/>
      <c r="AY30" s="40"/>
    </row>
    <row r="31" spans="1:51" x14ac:dyDescent="0.25">
      <c r="A31" s="40"/>
      <c r="B31" s="229" t="str">
        <f>IF(D9="No capitalina","Trienios en isla No Capitalina","")</f>
        <v/>
      </c>
      <c r="C31" s="230"/>
      <c r="D31" s="163">
        <f>IF(AND(D$14=L$2,D$12=K$2),Nóminab!D25,IF(AND(D$14=L$3,D$12=K$2),Nóminab!F25,IF(AND(D$14=L$2,D$12=K$3),Nóminab!E25,IF(AND(D$14=L$3,D$12=K$3),Nóminab!G25,0))))</f>
        <v>0</v>
      </c>
      <c r="E31" s="40"/>
      <c r="F31" s="40"/>
      <c r="G31" s="38">
        <v>19</v>
      </c>
      <c r="H31" s="38">
        <v>9.5</v>
      </c>
      <c r="V31" s="1"/>
      <c r="W31" s="1"/>
      <c r="X31" s="1"/>
      <c r="AX31" s="40"/>
      <c r="AY31" s="40"/>
    </row>
    <row r="32" spans="1:51" x14ac:dyDescent="0.25">
      <c r="A32" s="40"/>
      <c r="B32" s="229" t="str">
        <f>CONCATENATE("Complemento Específico. Puntos: ",ROUND(+D32/22.12,2))</f>
        <v>Complemento Específico. Puntos: 33,04</v>
      </c>
      <c r="C32" s="230"/>
      <c r="D32" s="163">
        <f>IF(AND(D$14=L$2,D$12=K$2),Nóminab!D26,IF(AND(D$14=L$3,D$12=K$2),Nóminab!F26,IF(AND(D$14=L$2,D$12=K$3),Nóminab!E26,IF(AND(D$14=L$3,D$12=K$3),Nóminab!G26,0))))</f>
        <v>730.78</v>
      </c>
      <c r="E32" s="40"/>
      <c r="F32" s="40"/>
      <c r="G32" s="38">
        <v>20</v>
      </c>
      <c r="H32" s="38">
        <v>10</v>
      </c>
      <c r="V32" s="1"/>
      <c r="W32" s="1"/>
      <c r="X32" s="1"/>
      <c r="AX32" s="40"/>
      <c r="AY32" s="40"/>
    </row>
    <row r="33" spans="1:51" ht="15.75" customHeight="1" x14ac:dyDescent="0.25">
      <c r="A33" s="40"/>
      <c r="B33" s="229" t="str">
        <f>CONCATENATE("Complemento Destino."," Nivel: ",+Retribuciones!T4)</f>
        <v>Complemento Destino. Nivel: 21</v>
      </c>
      <c r="C33" s="230"/>
      <c r="D33" s="170">
        <f>IF(AND(D$14=L$2,D$12=K$2),Nóminab!D27,IF(AND(D$14=L$3,D$12=K$2),Nóminab!F27,IF(AND(D$14=L$2,D$12=K$3),Nóminab!E27,IF(AND(D$14=L$3,D$12=K$3),Nóminab!G27,0))))</f>
        <v>535.99</v>
      </c>
      <c r="E33" s="204" t="str">
        <f>IF(D11&gt;5,"Por haber votado NO a los sexenios en 2008","")</f>
        <v>Por haber votado NO a los sexenios en 2008</v>
      </c>
      <c r="F33" s="40"/>
      <c r="G33" s="38">
        <v>21</v>
      </c>
      <c r="H33" s="38">
        <v>10.5</v>
      </c>
      <c r="V33" s="1"/>
      <c r="W33" s="1"/>
      <c r="X33" s="1"/>
      <c r="AX33" s="40"/>
      <c r="AY33" s="40"/>
    </row>
    <row r="34" spans="1:51" ht="15" hidden="1" customHeight="1" x14ac:dyDescent="0.25">
      <c r="A34" s="40"/>
      <c r="B34" s="229" t="str">
        <f>IF(AND($D$7="Sí",D5=H11),"Complemento nivelador maestros 1º y 2º ESO"," ")</f>
        <v xml:space="preserve"> </v>
      </c>
      <c r="C34" s="230"/>
      <c r="D34" s="170">
        <f>IF(AND(D$14=L$2,D$12=K$2),Nóminab!D28,IF(AND(D$14=L$3,D$12=K$2),Nóminab!F28,IF(AND(D$14=L$2,D$12=K$3),Nóminab!E28,IF(AND(D$14=L$3,D$12=K$3),Nóminab!G28,0))))</f>
        <v>0</v>
      </c>
      <c r="E34" s="206"/>
      <c r="F34" s="40"/>
      <c r="G34" s="38">
        <v>22</v>
      </c>
      <c r="H34" s="38">
        <v>11</v>
      </c>
      <c r="J34" s="39"/>
      <c r="V34" s="1"/>
      <c r="W34" s="1"/>
      <c r="X34" s="1"/>
      <c r="AX34" s="40"/>
      <c r="AY34" s="40"/>
    </row>
    <row r="35" spans="1:51" x14ac:dyDescent="0.25">
      <c r="A35" s="40"/>
      <c r="B35" s="229" t="str">
        <f>IF(AND(D11&gt;5,D11&lt;12),"Complemento Formación. 1 Sexenio",IF(AND(D11&gt;11,D11&lt;18),"Complemento Formación. 2 Sexenios",IF(AND(D11&gt;17,D11&lt;24),"Complemento Formación. 3 Sexenios",IF(AND(D11&gt;23,D11&lt;30),"Complemento Formación. 4 Sexenios",IF(D11&gt;29,"Complemento Formación. 5 Sexenios","")))))</f>
        <v>Complemento Formación. 2 Sexenios</v>
      </c>
      <c r="C35" s="230"/>
      <c r="D35" s="170">
        <f>IF(AND(D$14=L$2,D$12=K$2),Nóminab!D29,IF(AND(D$14=L$3,D$12=K$2),Nóminab!F29,IF(AND(D$14=L$2,D$12=K$3),Nóminab!E29,IF(AND(D$14=L$3,D$12=K$3),Nóminab!G29,0))))</f>
        <v>119</v>
      </c>
      <c r="E35" s="207" t="str">
        <f>IF(D11&gt;5,"Importe bruto total que has perdido: ","")</f>
        <v xml:space="preserve">Importe bruto total que has perdido: </v>
      </c>
      <c r="F35" s="40"/>
      <c r="G35" s="38">
        <v>23</v>
      </c>
      <c r="H35" s="38">
        <v>11.5</v>
      </c>
      <c r="J35" s="39"/>
      <c r="V35" s="1"/>
      <c r="W35" s="1"/>
      <c r="X35" s="1"/>
      <c r="AX35" s="40"/>
      <c r="AY35" s="40"/>
    </row>
    <row r="36" spans="1:51" x14ac:dyDescent="0.25">
      <c r="A36" s="40"/>
      <c r="B36" s="176" t="str">
        <f>IF(V69&gt;0,"Complemento especial responsabilidad","")</f>
        <v/>
      </c>
      <c r="C36" s="177"/>
      <c r="D36" s="203">
        <f>+V69</f>
        <v>0</v>
      </c>
      <c r="E36" s="205">
        <f>IF(D11&gt;5,ROUNDUP(+SexeniosPerdidos!N16,2),"")</f>
        <v>5637.57</v>
      </c>
      <c r="F36" s="40"/>
      <c r="G36" s="38">
        <v>24</v>
      </c>
      <c r="H36" s="38">
        <v>12</v>
      </c>
      <c r="V36" s="1"/>
      <c r="W36" s="1"/>
      <c r="X36" s="1"/>
      <c r="AX36" s="40"/>
      <c r="AY36" s="40"/>
    </row>
    <row r="37" spans="1:51" x14ac:dyDescent="0.25">
      <c r="A37" s="40"/>
      <c r="B37" s="229" t="str">
        <f>IF($D$16="junio","Paga extra junio. Sueldo Base",IF(AND($D$16="diciembre",D6= "Interino"),"Paga extra diciembre (sep a dic). Sueldo Base",IF(AND($D$16="Agosto (interino)",D6="Interino"),"Liquidación Paga extra diciembre. Sueldo Base",IF(AND($D$16="diciembre",D6= "Carrera (anterior a 1 enero 2011)"),"Paga extra diciembre, Sueldo Base",IF(AND($D$16="diciembre",D6= "Carrera (posterior a 1 enero 2011)"),"Paga extra diciembre, Sueldo Base"," ")))))</f>
        <v>Liquidación Paga extra diciembre. Sueldo Base</v>
      </c>
      <c r="C37" s="230"/>
      <c r="D37" s="170">
        <f>IF(AND(D$14=L$2,D$12=K$2),Nóminab!D35,IF(AND(D$14=L$3,D$12=K$2),Nóminab!F35,IF(AND(D$14=L$2,D$12=K$3),Nóminab!E35,IF(AND(D$14=L$3,D$12=K$3),Nóminab!G35,0))))</f>
        <v>390.57499999999999</v>
      </c>
      <c r="E37" s="210">
        <f>IF(D11&gt;5,+SexeniosPerdidos!N16/Nóminab!D59,"")</f>
        <v>0.15192813612160788</v>
      </c>
      <c r="F37" s="40"/>
      <c r="G37" s="38">
        <v>25</v>
      </c>
      <c r="H37" s="38">
        <v>12.5</v>
      </c>
      <c r="V37" s="1"/>
      <c r="W37" s="1"/>
      <c r="X37" s="1"/>
      <c r="AX37" s="40"/>
      <c r="AY37" s="40"/>
    </row>
    <row r="38" spans="1:51" x14ac:dyDescent="0.25">
      <c r="A38" s="40"/>
      <c r="B38" s="229" t="str">
        <f>IF($D$16="junio","Paga extra junio. Trienios",IF(AND($D$16="diciembre",D6="Interino"),"Paga extra diciembre (Sep a dic). Trienios",IF(AND($D$16="Agosto (interino)",D6="Interino"),"Liquidación Paga extra diciembre. Trienios",IF(AND($D$16="diciembre",D6="Carrera (anterior a 1 enero 2011)"),"Paga extra diciembre, Trienios",IF(AND($D$16="diciembre",D6="Carrera (posterior a 1 enero 2011)"),"Paga extra diciembre, Trienios"," ")))))</f>
        <v>Liquidación Paga extra diciembre. Trienios</v>
      </c>
      <c r="C38" s="230"/>
      <c r="D38" s="170">
        <f>IF(AND(D$14=L$2,D$12=K$2),Nóminab!D36,IF(AND(D$14=L$3,D$12=K$2),Nóminab!F36,IF(AND(D$14=L$2,D$12=K$3),Nóminab!E36,IF(AND(D$14=L$3,D$12=K$3),Nóminab!G36,0))))</f>
        <v>56.7</v>
      </c>
      <c r="E38" s="205" t="str">
        <f>IF(D11&gt;5,"Del sueldo bruto que cobras en 2022","")</f>
        <v>Del sueldo bruto que cobras en 2022</v>
      </c>
      <c r="F38" s="40"/>
      <c r="G38" s="38">
        <v>26</v>
      </c>
      <c r="H38" s="38">
        <v>13</v>
      </c>
      <c r="V38" s="1"/>
      <c r="W38" s="1"/>
      <c r="X38" s="1"/>
      <c r="AX38" s="40"/>
      <c r="AY38" s="40"/>
    </row>
    <row r="39" spans="1:51" x14ac:dyDescent="0.25">
      <c r="A39" s="40"/>
      <c r="B39" s="229" t="str">
        <f>IF($D$16="junio","Paga extra junio. Complemento Destino",IF(AND($D$16="diciembre",D6="Interino"),"Paga extra diciembre (sep a dic). Complemento Destino",IF(AND($D$16="Agosto (interino)",D6="Interino"),"Liquidación Paga extra diciembre. Complemento Destino",IF(AND($D$16="diciembre",D6="Carrera (anterior a 1 enero 2011)"),"Paga extra diciembre. Complemento Destino",IF(AND($D$16="diciembre",D6="Carrera (posterior a 1 enero 2011)"),"Paga extra diciembre. Complemento Destino"," ")))))</f>
        <v>Liquidación Paga extra diciembre. Complemento Destino</v>
      </c>
      <c r="C39" s="230"/>
      <c r="D39" s="163">
        <f>IF(AND(D$14=L$2,D$12=K$2),Nóminab!D37,IF(AND(D$14=L$3,D$12=K$2),Nóminab!F37,IF(AND(D$14=L$2,D$12=K$3),Nóminab!E37,IF(AND(D$14=L$3,D$12=K$3),Nóminab!G37,0))))</f>
        <v>267.995</v>
      </c>
      <c r="E39" s="40"/>
      <c r="F39" s="40"/>
      <c r="G39" s="38">
        <v>27</v>
      </c>
      <c r="H39" s="38">
        <v>13.5</v>
      </c>
      <c r="V39" s="1"/>
      <c r="W39" s="1"/>
      <c r="X39" s="1"/>
      <c r="AX39" s="40"/>
      <c r="AY39" s="40"/>
    </row>
    <row r="40" spans="1:51" x14ac:dyDescent="0.25">
      <c r="A40" s="40"/>
      <c r="B40" s="229" t="str">
        <f>IF($D$16="junio","Adicional junio. Complemento específico",IF(AND($D$16="diciembre",D6="Interino"),"Adicional diciembre (sep a dic). Complemento específico",IF(AND($D$16="Agosto (interino)",D6="Interino"),"Liquidación Adicional Diciembre. Complemento específico",IF(AND($D$16="diciembre",D6="Carrera (anterior a 1 enero 2011)"),"Adicional diciembre. Complemento específico",IF(AND($D$16="diciembre",D6="Carrera (posterior a 1 enero 2011)"),"Adicional diciembre. Complemento específico"," ")))))</f>
        <v>Liquidación Adicional Diciembre. Complemento específico</v>
      </c>
      <c r="C40" s="230"/>
      <c r="D40" s="163">
        <f>IF(AND(D$14=L$2,D$12=K$2),Nóminab!D38,IF(AND(D$14=L$3,D$12=K$2),Nóminab!F38,IF(AND(D$14=L$2,D$12=K$3),Nóminab!E38,IF(AND(D$14=L$3,D$12=K$3),Nóminab!G38,0))))</f>
        <v>190.00280000000001</v>
      </c>
      <c r="E40" s="40"/>
      <c r="F40" s="40"/>
      <c r="G40" s="38">
        <v>28</v>
      </c>
      <c r="H40" s="38">
        <v>14</v>
      </c>
      <c r="V40" s="1"/>
      <c r="W40" s="1"/>
      <c r="X40" s="1"/>
      <c r="AX40" s="40"/>
      <c r="AY40" s="40"/>
    </row>
    <row r="41" spans="1:51" x14ac:dyDescent="0.25">
      <c r="A41" s="40"/>
      <c r="B41" s="229" t="str">
        <f>IF($D$16="junio","Paga extra junio. Sexenios",IF(AND($D$16="diciembre",D6="Interino"),"Paga extra diciembre (sep a dic). Sexenios",IF(AND($D$16="Agosto (interino)",D6="Interino"),"Liquidación Paga extra Diciembre. Sexenios",IF(AND($D$16="diciembre",D6="Carrera (anterior a 1 enero 2011)"),"Paga extra diciembre. Sexenios",IF(AND($D$16="diciembre",D6="Carrera (posterior a 1 enero 2011)"),"Paga extra Diciembre. Sexenios"," ")))))</f>
        <v>Liquidación Paga extra Diciembre. Sexenios</v>
      </c>
      <c r="C41" s="230"/>
      <c r="D41" s="163">
        <f>IF(AND(D$14=L$2,D$12=K$2),Nóminab!D39,IF(AND(D$14=L$3,D$12=K$2),Nóminab!F39,IF(AND(D$14=L$2,D$12=K$3),Nóminab!E39,IF(AND(D$14=L$3,D$12=K$3),Nóminab!G39,0))))</f>
        <v>30.94</v>
      </c>
      <c r="E41" s="40"/>
      <c r="F41" s="40"/>
      <c r="G41" s="38">
        <v>29</v>
      </c>
      <c r="H41" s="38">
        <v>14.5</v>
      </c>
      <c r="V41" s="1"/>
      <c r="W41" s="1"/>
      <c r="X41" s="1"/>
      <c r="AX41" s="40"/>
      <c r="AY41" s="40"/>
    </row>
    <row r="42" spans="1:51" x14ac:dyDescent="0.25">
      <c r="A42" s="40"/>
      <c r="B42" s="229" t="str">
        <f>IF(V112&gt;0,B23,"")</f>
        <v/>
      </c>
      <c r="C42" s="230"/>
      <c r="D42" s="163">
        <f>+V112</f>
        <v>0</v>
      </c>
      <c r="E42" s="40"/>
      <c r="F42" s="40"/>
      <c r="G42" s="38">
        <v>30</v>
      </c>
      <c r="H42" s="38">
        <v>15</v>
      </c>
      <c r="R42" s="39"/>
      <c r="V42" s="1"/>
      <c r="W42" s="1"/>
      <c r="X42" s="1"/>
      <c r="AX42" s="40"/>
      <c r="AY42" s="40"/>
    </row>
    <row r="43" spans="1:51" x14ac:dyDescent="0.25">
      <c r="A43" s="40"/>
      <c r="B43" s="229" t="str">
        <f>IF(V126&gt;0,B24,"")</f>
        <v/>
      </c>
      <c r="C43" s="230"/>
      <c r="D43" s="163">
        <f>+V126</f>
        <v>0</v>
      </c>
      <c r="E43" s="40"/>
      <c r="F43" s="40"/>
      <c r="G43" s="38">
        <v>31</v>
      </c>
      <c r="H43" s="38">
        <v>15.5</v>
      </c>
      <c r="R43" s="181"/>
      <c r="V43" s="1"/>
      <c r="W43" s="1"/>
      <c r="X43" s="1"/>
      <c r="AX43" s="40"/>
      <c r="AY43" s="40"/>
    </row>
    <row r="44" spans="1:51" x14ac:dyDescent="0.25">
      <c r="A44" s="40"/>
      <c r="B44" s="231" t="str">
        <f>IF(V138&gt;0,B25,"")</f>
        <v/>
      </c>
      <c r="C44" s="232"/>
      <c r="D44" s="163">
        <f>+V138</f>
        <v>0</v>
      </c>
      <c r="E44" s="40"/>
      <c r="F44" s="40"/>
      <c r="G44" s="38">
        <v>32</v>
      </c>
      <c r="H44" s="38">
        <v>16</v>
      </c>
      <c r="V44" s="1"/>
      <c r="W44" s="1"/>
      <c r="X44" s="1"/>
      <c r="AX44" s="40"/>
      <c r="AY44" s="40"/>
    </row>
    <row r="45" spans="1:51" x14ac:dyDescent="0.25">
      <c r="A45" s="40"/>
      <c r="B45" s="229" t="str">
        <f>IF(D19="sí",(CONCATENATE("Vacaciones no disfrutadas: ",INT((+D21-D20)/12)," días.")),"")</f>
        <v/>
      </c>
      <c r="C45" s="230"/>
      <c r="D45" s="163">
        <f>IF(D19="sí",IF(D14="Jornada completa",Nomina1dia!E45*(INT((+D21-D20)/12)),IF(D14="Jornada parcial",Nomina1dia!G45*(INT((+D21-D20)/12)),0)),0)</f>
        <v>0</v>
      </c>
      <c r="E45" s="40"/>
      <c r="F45" s="40"/>
      <c r="G45" s="38">
        <v>33</v>
      </c>
      <c r="H45" s="38">
        <v>16.5</v>
      </c>
      <c r="V45" s="1"/>
      <c r="W45" s="1"/>
      <c r="X45" s="1"/>
      <c r="AX45" s="40"/>
      <c r="AY45" s="40"/>
    </row>
    <row r="46" spans="1:51" x14ac:dyDescent="0.25">
      <c r="A46" s="40"/>
      <c r="B46" s="229" t="s">
        <v>230</v>
      </c>
      <c r="C46" s="230"/>
      <c r="D46" s="184"/>
      <c r="E46" s="40"/>
      <c r="F46" s="40"/>
      <c r="G46" s="38">
        <v>34</v>
      </c>
      <c r="H46" s="38">
        <v>17</v>
      </c>
      <c r="V46" s="1"/>
      <c r="W46" s="1"/>
      <c r="X46" s="1"/>
      <c r="AX46" s="40"/>
      <c r="AY46" s="40"/>
    </row>
    <row r="47" spans="1:51" ht="16.5" customHeight="1" thickBot="1" x14ac:dyDescent="0.35">
      <c r="A47" s="40"/>
      <c r="B47" s="275" t="s">
        <v>45</v>
      </c>
      <c r="C47" s="276"/>
      <c r="D47" s="164">
        <f>SUM(D28:D46)</f>
        <v>3679.5527999999999</v>
      </c>
      <c r="E47" s="40"/>
      <c r="F47" s="40"/>
      <c r="G47" s="38">
        <v>35</v>
      </c>
      <c r="H47" s="38">
        <v>17.5</v>
      </c>
      <c r="V47" s="1"/>
      <c r="W47" s="1"/>
      <c r="X47" s="1"/>
      <c r="AX47" s="40"/>
      <c r="AY47" s="40"/>
    </row>
    <row r="48" spans="1:51" ht="5.25" customHeight="1" thickBot="1" x14ac:dyDescent="0.3">
      <c r="A48" s="40"/>
      <c r="B48" s="40"/>
      <c r="C48" s="40"/>
      <c r="D48" s="40"/>
      <c r="E48" s="40"/>
      <c r="F48" s="40"/>
      <c r="G48" s="38">
        <v>36</v>
      </c>
      <c r="H48" s="38">
        <v>18</v>
      </c>
      <c r="V48" s="1"/>
      <c r="W48" s="1"/>
      <c r="X48" s="1"/>
      <c r="AX48" s="40"/>
      <c r="AY48" s="40"/>
    </row>
    <row r="49" spans="1:53" ht="18.75" x14ac:dyDescent="0.3">
      <c r="A49" s="40"/>
      <c r="B49" s="165"/>
      <c r="C49" s="166"/>
      <c r="D49" s="167" t="s">
        <v>225</v>
      </c>
      <c r="E49" s="40"/>
      <c r="F49" s="40"/>
      <c r="G49" s="38">
        <v>40</v>
      </c>
      <c r="H49" s="38">
        <v>18.5</v>
      </c>
      <c r="V49" s="1"/>
      <c r="W49" s="1"/>
      <c r="X49" s="1"/>
      <c r="AX49" s="40"/>
      <c r="AY49" s="40"/>
    </row>
    <row r="50" spans="1:53" x14ac:dyDescent="0.25">
      <c r="A50" s="40"/>
      <c r="B50" s="273" t="s">
        <v>185</v>
      </c>
      <c r="C50" s="274"/>
      <c r="D50" s="163">
        <f>IF(AND(D$14=L$2,D$12=K$2),Nóminab!D48,IF(AND(D$14=L$3,D$12=K$2),Nóminab!F48,IF(AND(D$14=L$2,D$12=K$3),Nóminab!E48,IF(AND(D$14=L$3,D$12=K$3),Nóminab!G48,0))))</f>
        <v>-6</v>
      </c>
      <c r="E50" s="40"/>
      <c r="F50" s="40"/>
      <c r="G50" s="38">
        <v>41</v>
      </c>
      <c r="H50" s="38">
        <v>20.5</v>
      </c>
      <c r="V50" s="1"/>
      <c r="W50" s="1"/>
      <c r="X50" s="1"/>
      <c r="AX50" s="40"/>
      <c r="AY50" s="40"/>
    </row>
    <row r="51" spans="1:53" x14ac:dyDescent="0.25">
      <c r="A51" s="40"/>
      <c r="B51" s="273" t="str">
        <f>IF(D6="Carrera (anterior a 1 enero 2011)","Derechos Pasivos","Contingencias Comunes: 4,7% (trabajador) y 23,6% (empresa)")</f>
        <v>Contingencias Comunes: 4,7% (trabajador) y 23,6% (empresa)</v>
      </c>
      <c r="C51" s="274"/>
      <c r="D51" s="163">
        <f>IF(AND(D$14=L$2,D$12=K$2),Nóminab!D49,IF(AND(D$14=L$3,D$12=K$2),Nóminab!F49,IF(AND(D$14=L$2,D$12=K$3),Nóminab!E49,IF(AND(D$14=L$3,D$12=K$3),Nóminab!G49,0))))</f>
        <v>-145.33504499999995</v>
      </c>
      <c r="E51" s="40"/>
      <c r="F51" s="40"/>
      <c r="G51" s="38">
        <v>42</v>
      </c>
      <c r="H51" s="38">
        <v>21</v>
      </c>
      <c r="V51" s="1"/>
      <c r="W51" s="1"/>
      <c r="X51" s="1"/>
      <c r="AX51" s="40"/>
      <c r="AY51" s="40"/>
    </row>
    <row r="52" spans="1:53" x14ac:dyDescent="0.25">
      <c r="A52" s="40"/>
      <c r="B52" s="273" t="str">
        <f>IF(OR(D6="Carrera (anterior a 1 enero 2011)",D6="Carrera (posterior a 1 enero 2011)"),"MUFACE","Cuota Desempleo: 1,55% (trabajador) y 5,5% (empresa)")</f>
        <v>Cuota Desempleo: 1,55% (trabajador) y 5,5% (empresa)</v>
      </c>
      <c r="C52" s="274"/>
      <c r="D52" s="163">
        <f>IF(AND(D$14=L$2,D$12=K$2),Nóminab!D50,IF(AND(D$14=L$3,D$12=K$2),Nóminab!F50,IF(AND(D$14=L$2,D$12=K$3),Nóminab!E50,IF(AND(D$14=L$3,D$12=K$3),Nóminab!G50,0))))</f>
        <v>-47.929642499999986</v>
      </c>
      <c r="E52" s="40"/>
      <c r="F52" s="227" t="str">
        <f>IF(D6="Interino","Interinos: Estimación del % IRPF de Septiembre a diciembre 2022","")</f>
        <v>Interinos: Estimación del % IRPF de Septiembre a diciembre 2022</v>
      </c>
      <c r="G52" s="38">
        <v>43</v>
      </c>
      <c r="H52" s="38">
        <v>21.5</v>
      </c>
      <c r="V52" s="1"/>
      <c r="W52" s="1"/>
      <c r="X52" s="1"/>
      <c r="AX52" s="40"/>
      <c r="AY52" s="40"/>
    </row>
    <row r="53" spans="1:53" x14ac:dyDescent="0.25">
      <c r="A53" s="40"/>
      <c r="B53" s="273" t="str">
        <f>IF(D6="Interino","Cuota Formación Profesional: 0,10% (trabajador) y 0,60% (empresa)",IF(D6="Carrera (posterior a 1 enero 2011)","Coeficiente reductor: 0,009 (trabajador) y 0,046 (empresa)"," "))</f>
        <v>Cuota Formación Profesional: 0,10% (trabajador) y 0,60% (empresa)</v>
      </c>
      <c r="C53" s="274"/>
      <c r="D53" s="170">
        <f>IF(AND(D$14=L$2,D$12=K$2),Nóminab!D51,IF(AND(D$14=L$3,D$12=K$2),Nóminab!F51,IF(AND(D$14=L$2,D$12=K$3),Nóminab!E51,IF(AND(D$14=L$3,D$12=K$3),Nóminab!G51,0))))</f>
        <v>-3.09</v>
      </c>
      <c r="E53" s="171" t="str">
        <f>IF(D6="Interino","Interinos: Estimación del % IRPF del año completo","")</f>
        <v>Interinos: Estimación del % IRPF del año completo</v>
      </c>
      <c r="F53" s="228"/>
      <c r="G53" s="38">
        <v>44</v>
      </c>
      <c r="H53" s="38">
        <v>22</v>
      </c>
      <c r="V53" s="1"/>
      <c r="W53" s="1"/>
      <c r="X53" s="1"/>
      <c r="AX53" s="40"/>
      <c r="AY53" s="40"/>
    </row>
    <row r="54" spans="1:53" x14ac:dyDescent="0.25">
      <c r="A54" s="40"/>
      <c r="B54" s="168" t="s">
        <v>199</v>
      </c>
      <c r="C54" s="185">
        <v>0.15770000000000001</v>
      </c>
      <c r="D54" s="170">
        <f>+D47*-C54</f>
        <v>-580.26547656000002</v>
      </c>
      <c r="E54" s="172">
        <f>IF(D6="Interino",+'IRPF año completo'!B35,"")</f>
        <v>0.18750626108623697</v>
      </c>
      <c r="F54" s="216">
        <f>IF(D6="Interino",+E54+E54+E54-C54-C54,"")</f>
        <v>0.24711878325871084</v>
      </c>
      <c r="G54" s="38">
        <v>45</v>
      </c>
      <c r="H54" s="38">
        <v>22.5</v>
      </c>
      <c r="V54" s="1"/>
      <c r="W54" s="1"/>
      <c r="X54" s="1"/>
      <c r="AX54" s="40"/>
      <c r="AY54" s="40"/>
      <c r="AZ54" s="215"/>
      <c r="BA54" s="215"/>
    </row>
    <row r="55" spans="1:53" ht="19.5" thickBot="1" x14ac:dyDescent="0.35">
      <c r="A55" s="40"/>
      <c r="B55" s="238" t="s">
        <v>46</v>
      </c>
      <c r="C55" s="239"/>
      <c r="D55" s="169">
        <f>+D54+D50+D51+D52+D53</f>
        <v>-782.62016405999998</v>
      </c>
      <c r="E55" s="40"/>
      <c r="F55" s="40"/>
      <c r="H55" s="38">
        <v>23</v>
      </c>
      <c r="V55" s="1"/>
      <c r="W55" s="1"/>
      <c r="X55" s="1"/>
      <c r="AX55" s="40"/>
      <c r="AY55" s="40"/>
    </row>
    <row r="56" spans="1:53" ht="6" customHeight="1" x14ac:dyDescent="0.25">
      <c r="A56" s="40"/>
      <c r="B56" s="40"/>
      <c r="C56" s="40"/>
      <c r="D56" s="40"/>
      <c r="E56" s="40"/>
      <c r="F56" s="40"/>
      <c r="H56" s="38">
        <v>23.5</v>
      </c>
      <c r="V56" s="1"/>
      <c r="W56" s="1"/>
      <c r="X56" s="1"/>
      <c r="AX56" s="40"/>
      <c r="AY56" s="40"/>
    </row>
    <row r="57" spans="1:53" ht="18.75" x14ac:dyDescent="0.3">
      <c r="A57" s="40"/>
      <c r="B57" s="240" t="s">
        <v>167</v>
      </c>
      <c r="C57" s="241"/>
      <c r="D57" s="158">
        <f>+D47+D55</f>
        <v>2896.9326359400002</v>
      </c>
      <c r="E57" s="40"/>
      <c r="F57" s="40"/>
      <c r="H57" s="38">
        <v>24</v>
      </c>
      <c r="V57" s="1"/>
      <c r="W57" s="1"/>
      <c r="X57" s="1"/>
      <c r="AX57" s="40"/>
      <c r="AY57" s="40"/>
    </row>
    <row r="58" spans="1:53" ht="6.75" customHeight="1" x14ac:dyDescent="0.25">
      <c r="A58" s="40"/>
      <c r="B58" s="40"/>
      <c r="C58" s="40"/>
      <c r="D58" s="40"/>
      <c r="E58" s="40"/>
      <c r="F58" s="40"/>
      <c r="H58" s="38">
        <v>24.5</v>
      </c>
      <c r="V58" s="1"/>
      <c r="W58" s="1"/>
      <c r="X58" s="1"/>
      <c r="AX58" s="40"/>
      <c r="AY58" s="40"/>
    </row>
    <row r="59" spans="1:53" x14ac:dyDescent="0.25">
      <c r="A59" s="40"/>
      <c r="B59" s="236" t="str">
        <f>IF(AND(D12="mes",D14="Jornada completa"),"SUELDO BRUTO ANUAL. Año completo","SUELDO BRUTO ANUAL")</f>
        <v>SUELDO BRUTO ANUAL. Año completo</v>
      </c>
      <c r="C59" s="237"/>
      <c r="D59" s="182">
        <f>IF(AND(D$14=L$2,D$12=K$2),Nóminab!D59,"No podemos estimarlo, por no ser de todo el curso")</f>
        <v>37106.819999999992</v>
      </c>
      <c r="E59" s="40"/>
      <c r="F59" s="40"/>
      <c r="H59" s="38">
        <v>25</v>
      </c>
      <c r="V59" s="1"/>
      <c r="W59" s="1"/>
      <c r="X59" s="1"/>
      <c r="AX59" s="40"/>
      <c r="AY59" s="40"/>
    </row>
    <row r="60" spans="1:53" x14ac:dyDescent="0.25">
      <c r="A60" s="40"/>
      <c r="B60" s="236" t="str">
        <f>IF(D6="carrera (anterior a 1 enero 2011)","Derechos Pasivos, MUFACE y Cuota sindical (anual)",IF(D6="Carrera (posterior a 1 enero 2011)","MUFACE, Seguridad Social y Cuota sindical. (Anual)","Seguridad Social y Cuota sindical. (anual)"))</f>
        <v>Seguridad Social y Cuota sindical. (anual)</v>
      </c>
      <c r="C60" s="237"/>
      <c r="D60" s="182">
        <f>IF(AND(D$14=L$2,D$12=K$2),Nóminab!D60,"No podemos estimarlo, por no ser de todo el curso")</f>
        <v>-2284.2830699999995</v>
      </c>
      <c r="E60" s="40"/>
      <c r="F60" s="212"/>
      <c r="V60" s="1"/>
      <c r="W60" s="1"/>
      <c r="X60" s="1"/>
      <c r="AX60" s="40"/>
      <c r="AY60" s="40"/>
    </row>
    <row r="61" spans="1:53" ht="5.25" customHeight="1" x14ac:dyDescent="0.25">
      <c r="A61" s="40"/>
      <c r="B61" s="40"/>
      <c r="C61" s="40"/>
      <c r="D61" s="40"/>
      <c r="E61" s="40"/>
      <c r="F61" s="212"/>
      <c r="V61" s="1"/>
      <c r="W61" s="1"/>
      <c r="X61" s="1"/>
      <c r="AX61" s="40"/>
      <c r="AY61" s="40"/>
    </row>
    <row r="62" spans="1:53" x14ac:dyDescent="0.25">
      <c r="A62" s="40"/>
      <c r="B62" s="236" t="str">
        <f>IF(OR(D6="interino",D6="Carrera (posterior a 1 enero 2011)"),"Base cotización Seguridad Social","")</f>
        <v>Base cotización Seguridad Social</v>
      </c>
      <c r="C62" s="237"/>
      <c r="D62" s="25">
        <f>IF(AND(D$14=L$2,D$12=K$2),Nóminab!D62,IF(AND(D$14=L$3,D$12=K$2),Nóminab!F62,IF(AND(D$14=L$2,D$12=K$3),Nóminab!E62,IF(AND(D$14=L$3,D$12=K$3),Nóminab!G62,0))))</f>
        <v>3092.2349999999992</v>
      </c>
      <c r="E62" s="40"/>
      <c r="F62" s="212"/>
      <c r="V62" s="1"/>
      <c r="W62" s="1"/>
      <c r="X62" s="1"/>
      <c r="AX62" s="40"/>
      <c r="AY62" s="40"/>
    </row>
    <row r="63" spans="1:53" ht="4.5" customHeight="1" thickBot="1" x14ac:dyDescent="0.3">
      <c r="A63" s="40"/>
      <c r="B63" s="40"/>
      <c r="C63" s="40"/>
      <c r="D63" s="40"/>
      <c r="E63" s="40"/>
      <c r="F63" s="212"/>
      <c r="V63" s="1"/>
      <c r="W63" s="1"/>
      <c r="X63" s="1"/>
      <c r="AX63" s="40"/>
      <c r="AY63" s="40"/>
    </row>
    <row r="64" spans="1:53" ht="19.5" thickBot="1" x14ac:dyDescent="0.35">
      <c r="A64" s="40"/>
      <c r="B64" s="233" t="s">
        <v>223</v>
      </c>
      <c r="C64" s="234"/>
      <c r="D64" s="234"/>
      <c r="E64" s="235"/>
      <c r="F64" s="212"/>
      <c r="V64" s="1"/>
      <c r="W64" s="1"/>
      <c r="X64" s="1"/>
      <c r="AX64" s="40"/>
      <c r="AY64" s="40"/>
    </row>
    <row r="65" spans="1:51" x14ac:dyDescent="0.25">
      <c r="A65" s="40"/>
      <c r="B65" s="211"/>
      <c r="C65" s="40"/>
      <c r="D65" s="40"/>
      <c r="E65" s="212" t="s">
        <v>270</v>
      </c>
      <c r="F65" s="212"/>
      <c r="V65" s="1"/>
      <c r="W65" s="1"/>
      <c r="X65" s="1"/>
      <c r="AX65" s="40"/>
      <c r="AY65" s="40"/>
    </row>
    <row r="66" spans="1:51" x14ac:dyDescent="0.25">
      <c r="A66" s="40"/>
      <c r="B66" s="40"/>
      <c r="C66" s="40"/>
      <c r="D66" s="40"/>
      <c r="E66" s="40"/>
      <c r="F66" s="40"/>
      <c r="V66" s="1"/>
      <c r="W66" s="1"/>
      <c r="X66" s="1"/>
      <c r="AX66" s="40"/>
      <c r="AY66" s="40"/>
    </row>
    <row r="67" spans="1:51" x14ac:dyDescent="0.25">
      <c r="A67" s="40"/>
      <c r="B67" s="40"/>
      <c r="C67" s="40"/>
      <c r="D67" s="40"/>
      <c r="E67" s="40"/>
      <c r="F67" s="40"/>
      <c r="V67" s="1"/>
      <c r="W67" s="1"/>
      <c r="X67" s="1"/>
      <c r="AX67" s="40"/>
      <c r="AY67" s="40"/>
    </row>
    <row r="68" spans="1:51" x14ac:dyDescent="0.25">
      <c r="A68" s="40"/>
      <c r="B68" s="40"/>
      <c r="C68" s="40"/>
      <c r="D68" s="40"/>
      <c r="E68" s="40"/>
      <c r="F68" s="40"/>
      <c r="W68" s="1"/>
      <c r="X68" s="1"/>
      <c r="AX68" s="40"/>
      <c r="AY68" s="40"/>
    </row>
    <row r="69" spans="1:51" x14ac:dyDescent="0.25">
      <c r="A69" s="40"/>
      <c r="B69" s="40"/>
      <c r="C69" s="40"/>
      <c r="D69" s="40"/>
      <c r="E69" s="40"/>
      <c r="F69" s="40"/>
      <c r="T69" s="100" t="s">
        <v>231</v>
      </c>
      <c r="U69" s="38"/>
      <c r="V69" s="38">
        <f>IF(B22=T70,U70,IF(B22=T71,U71,IF(B22=T72,U72,IF(B22=T73,U73,IF(B22=T74,U74,IF(B22=T75,U75,IF(B22=T76,U76,IF(B22=T77,U77,IF(B22=T78,U78,IF(B22=T79,U79,IF(B22=T80,U80,IF(B22=T81,U81,IF(B22=T82,U82,IF(B22=T83,U83,IF(B22=T84,U84,IF(B22=T85,U85,IF(B22=T86,U86,IF(B22=T87,U87,IF(B22=T88,U88,IF(B22=T89,U89,IF(B22=T90,U90,IF(B22=T91,U91,IF(B22=T92,U92,IF(B22=T93,U93,IF(B22=T94,U94,IF(B22=T95,U95,IF(B22=T96,U96,IF(B22=T97,U97,IF(B22=T98,U98,IF(B22=T99,U99,IF(B22=T100,U100,IF(B22=T101,U101,IF(B22=T102,U102,IF(B22=T103,U103,IF(B22=T104,U104,IF(B22=T105,U105,IF(B22=T106,U106,IF(B22=T107,U107,IF(B22=T108,U108,IF(B22=T109,U109,IF(B22=T110,U110,IF(B22=T111,U111,0))))))))))))))))))))))))))))))))))))))))))</f>
        <v>0</v>
      </c>
      <c r="W69" s="1"/>
      <c r="X69" s="1"/>
      <c r="AX69" s="40"/>
      <c r="AY69" s="40"/>
    </row>
    <row r="70" spans="1:51" x14ac:dyDescent="0.25">
      <c r="A70" s="40"/>
      <c r="B70" s="40"/>
      <c r="C70" s="40"/>
      <c r="D70" s="40"/>
      <c r="E70" s="40"/>
      <c r="F70" s="40"/>
      <c r="T70" s="96" t="str">
        <f>+Retribuciones!O4</f>
        <v>Director/ra CEIP, CEP, CEEE, EEI, CEPA. Coordinador CER. Tipo A (Más de 35 Unidades)</v>
      </c>
      <c r="U70" s="75">
        <f>+Retribuciones!P4</f>
        <v>552.34</v>
      </c>
      <c r="W70" s="1"/>
      <c r="X70" s="1"/>
      <c r="AX70" s="40"/>
      <c r="AY70" s="40"/>
    </row>
    <row r="71" spans="1:51" x14ac:dyDescent="0.25">
      <c r="A71" s="40"/>
      <c r="B71" s="40"/>
      <c r="C71" s="40"/>
      <c r="D71" s="40"/>
      <c r="E71" s="40"/>
      <c r="F71" s="40"/>
      <c r="T71" s="96" t="str">
        <f>+Retribuciones!O5</f>
        <v>Director/ra CEIP, CEP, CEEE, EEI, CEPA. Coordinador CER. Tipo B (27 a 35 Unidades)</v>
      </c>
      <c r="U71" s="75">
        <f>+Retribuciones!P5</f>
        <v>503.95</v>
      </c>
      <c r="W71" s="1"/>
      <c r="X71" s="1"/>
      <c r="AX71" s="40"/>
      <c r="AY71" s="40"/>
    </row>
    <row r="72" spans="1:51" x14ac:dyDescent="0.25">
      <c r="T72" s="96" t="str">
        <f>+Retribuciones!O6</f>
        <v>Director/ra CEIP, CEP, CEEE, EEI, CEPA. Coordinador CER. Tipo C (18 a 26 Unidades)</v>
      </c>
      <c r="U72" s="75">
        <f>+Retribuciones!P6</f>
        <v>380.04</v>
      </c>
    </row>
    <row r="73" spans="1:51" x14ac:dyDescent="0.25">
      <c r="T73" s="97" t="str">
        <f>+Retribuciones!O7</f>
        <v>Director/ra CEIP, CEP, CEEE, EEI, CEPA. Coordinador CER. Tipo D (9 a 17 Unidades)</v>
      </c>
      <c r="U73" s="75">
        <f>+Retribuciones!P7</f>
        <v>289.17</v>
      </c>
    </row>
    <row r="74" spans="1:51" x14ac:dyDescent="0.25">
      <c r="T74" s="97" t="str">
        <f>+Retribuciones!O8</f>
        <v>Director/ra CEIP, CEP, CEEE, EEI, CEPA. Coordinador CER. Tipo E (6 a 8 Unidades)</v>
      </c>
      <c r="U74" s="75">
        <f>+Retribuciones!P8</f>
        <v>195.96</v>
      </c>
    </row>
    <row r="75" spans="1:51" x14ac:dyDescent="0.25">
      <c r="T75" s="97" t="str">
        <f>+Retribuciones!O9</f>
        <v>Director/ra CEIP, CEP, CEEE, EEI, CEPA. Coordinador CER. Tipo F (1 a 5 Unidades)</v>
      </c>
      <c r="U75" s="75">
        <f>+Retribuciones!P9</f>
        <v>122.79</v>
      </c>
    </row>
    <row r="76" spans="1:51" x14ac:dyDescent="0.25">
      <c r="T76" s="96" t="str">
        <f>+Retribuciones!O10</f>
        <v>J. Estudios. CEIP, CEP, CEEE, EEI, CEPA. Tipo A (Más de 35 Unidades)</v>
      </c>
      <c r="U76" s="75">
        <f>+Retribuciones!P10</f>
        <v>226.64</v>
      </c>
    </row>
    <row r="77" spans="1:51" x14ac:dyDescent="0.25">
      <c r="T77" s="96" t="str">
        <f>+Retribuciones!O11</f>
        <v>J. Estudios. CEIP, CEP, CEEE, EEI, CEPA. Tipo B (27 a 35 Unidades)</v>
      </c>
      <c r="U77" s="75">
        <f>+Retribuciones!P11</f>
        <v>217.21</v>
      </c>
    </row>
    <row r="78" spans="1:51" x14ac:dyDescent="0.25">
      <c r="T78" s="97" t="str">
        <f>+Retribuciones!O12</f>
        <v>J. Estudios. CEIP, CEP, CEEE, EEI, CEPA. Tipo C (18 a 26 Unidades)</v>
      </c>
      <c r="U78" s="75">
        <f>+Retribuciones!P12</f>
        <v>203.02</v>
      </c>
    </row>
    <row r="79" spans="1:51" x14ac:dyDescent="0.25">
      <c r="T79" s="96" t="str">
        <f>+Retribuciones!O13</f>
        <v>J. Estudios. CEIP, CEP, CEEE, EEI, CEPA. Tipo D (9 a 17 Unidades)</v>
      </c>
      <c r="U79" s="75">
        <f>+Retribuciones!P13</f>
        <v>158.18</v>
      </c>
    </row>
    <row r="80" spans="1:51" x14ac:dyDescent="0.25">
      <c r="T80" s="97" t="str">
        <f>+Retribuciones!O14</f>
        <v>Secretario/a. CEIP, CEP, CEEE, EEI, CEPA. Tipo A (Más de 35 Unidades)</v>
      </c>
      <c r="U80" s="75">
        <f>+Retribuciones!P14</f>
        <v>226.64</v>
      </c>
    </row>
    <row r="81" spans="20:21" x14ac:dyDescent="0.25">
      <c r="T81" s="96" t="str">
        <f>+Retribuciones!O15</f>
        <v>Secretario/a. CEIP, CEP, CEEE, EEI, CEPA. Tipo B (27 a 35 Unidades)</v>
      </c>
      <c r="U81" s="75">
        <f>+Retribuciones!P15</f>
        <v>217.21</v>
      </c>
    </row>
    <row r="82" spans="20:21" x14ac:dyDescent="0.25">
      <c r="T82" s="96" t="str">
        <f>+Retribuciones!O16</f>
        <v>Secretario/a. CEIP, CEP, CEEE, EEI, CEPA. Tipo C (18 a 26 Unidades)</v>
      </c>
      <c r="U82" s="75">
        <f>+Retribuciones!P16</f>
        <v>203.02</v>
      </c>
    </row>
    <row r="83" spans="20:21" x14ac:dyDescent="0.25">
      <c r="T83" s="96" t="str">
        <f>+Retribuciones!O17</f>
        <v>Secretario/a. CEIP, CEP, CEEE, EEI, CEPA. Tipo D (9 a 17 Unidades)</v>
      </c>
      <c r="U83" s="75">
        <f>+Retribuciones!P17</f>
        <v>158.18</v>
      </c>
    </row>
    <row r="84" spans="20:21" x14ac:dyDescent="0.25">
      <c r="T84" s="96" t="str">
        <f>+Retribuciones!O18</f>
        <v>Secretario/a. CEIP, CEP, CEEE, EEI, CEPA. Tipo E (6 a 8 Unidades)</v>
      </c>
      <c r="U84" s="75">
        <f>+Retribuciones!P18</f>
        <v>106.25</v>
      </c>
    </row>
    <row r="85" spans="20:21" x14ac:dyDescent="0.25">
      <c r="T85" s="96" t="str">
        <f>+Retribuciones!O19</f>
        <v>Vicedirector/ra. CEIP, CEP, CEEE, EEI Tipo A (Más de 35 Unidades)</v>
      </c>
      <c r="U85" s="75">
        <f>+Retribuciones!P19</f>
        <v>226.64</v>
      </c>
    </row>
    <row r="86" spans="20:21" x14ac:dyDescent="0.25">
      <c r="T86" s="96" t="str">
        <f>+Retribuciones!O20</f>
        <v>Vicedirector/ra. CEIP, CEP, CEEE, EEI Tipo B (27 a 35 Unidades)</v>
      </c>
      <c r="U86" s="75">
        <f>+Retribuciones!P20</f>
        <v>217.21</v>
      </c>
    </row>
    <row r="87" spans="20:21" x14ac:dyDescent="0.25">
      <c r="T87" s="97" t="str">
        <f>+Retribuciones!O21</f>
        <v>Vicedirector/ra. CEIP, CEP, CEEE, EEI Tipo C (18 a 26 Unidades)</v>
      </c>
      <c r="U87" s="75">
        <f>+Retribuciones!P21</f>
        <v>203.02</v>
      </c>
    </row>
    <row r="88" spans="20:21" x14ac:dyDescent="0.25">
      <c r="T88" s="98" t="str">
        <f>+Retribuciones!O22</f>
        <v>Director/ra IES, CEO, EA. Centro Tipo A (1650 o más Alumnos)</v>
      </c>
      <c r="U88" s="75">
        <f>+Retribuciones!P22</f>
        <v>694.22</v>
      </c>
    </row>
    <row r="89" spans="20:21" x14ac:dyDescent="0.25">
      <c r="T89" s="98" t="str">
        <f>+Retribuciones!O23</f>
        <v>Director/ra IES, CEO, EA. Centro Tipo B (de 901 a 1649 Alumnos)</v>
      </c>
      <c r="U89" s="75">
        <f>+Retribuciones!P23</f>
        <v>617.53</v>
      </c>
    </row>
    <row r="90" spans="20:21" x14ac:dyDescent="0.25">
      <c r="T90" s="98" t="str">
        <f>+Retribuciones!O24</f>
        <v>Director/ra IES, CEO, EA. Centro Tipo C (de 581 a 900 Alumnos)</v>
      </c>
      <c r="U90" s="75">
        <f>+Retribuciones!P24</f>
        <v>556.11</v>
      </c>
    </row>
    <row r="91" spans="20:21" x14ac:dyDescent="0.25">
      <c r="T91" s="98" t="str">
        <f>+Retribuciones!O25</f>
        <v>Director/ra IES, CEO, EA. Centro Tipo D (hasta 580 Alumnos)</v>
      </c>
      <c r="U91" s="75">
        <f>+Retribuciones!P25</f>
        <v>506.52</v>
      </c>
    </row>
    <row r="92" spans="20:21" x14ac:dyDescent="0.25">
      <c r="T92" s="98" t="str">
        <f>+Retribuciones!O26</f>
        <v>Jefe Estudios IES, CEO, EA. Centro Tipo A (1650 o más Alumnos)</v>
      </c>
      <c r="U92" s="75">
        <f>+Retribuciones!P26</f>
        <v>341.27</v>
      </c>
    </row>
    <row r="93" spans="20:21" x14ac:dyDescent="0.25">
      <c r="T93" s="99" t="str">
        <f>+Retribuciones!O27</f>
        <v>Jefe Estudios IES, CEO, EA. Centro Tipo B (de 901 a 1649 Alumnos)</v>
      </c>
      <c r="U93" s="75">
        <f>+Retribuciones!P27</f>
        <v>327.08999999999997</v>
      </c>
    </row>
    <row r="94" spans="20:21" x14ac:dyDescent="0.25">
      <c r="T94" s="99" t="str">
        <f>+Retribuciones!O28</f>
        <v>Jefe Estudios IES, CEO, EA. Centro Tipo C (de 581 a 900 Alumnos)</v>
      </c>
      <c r="U94" s="75">
        <f>+Retribuciones!P28</f>
        <v>253.88</v>
      </c>
    </row>
    <row r="95" spans="20:21" x14ac:dyDescent="0.25">
      <c r="T95" s="99" t="str">
        <f>+Retribuciones!O29</f>
        <v>Jefe Estudios IES, CEO, EA. Centro Tipo D (hasta 580 Alumnos)</v>
      </c>
      <c r="U95" s="75">
        <f>+Retribuciones!P29</f>
        <v>203.13</v>
      </c>
    </row>
    <row r="96" spans="20:21" x14ac:dyDescent="0.25">
      <c r="T96" s="99" t="str">
        <f>+Retribuciones!O30</f>
        <v>Secretario/a IES, CEO, EA. Centro Tipo A (1650 o más Alumnos)</v>
      </c>
      <c r="U96" s="75">
        <f>+Retribuciones!P30</f>
        <v>341.27</v>
      </c>
    </row>
    <row r="97" spans="20:22" x14ac:dyDescent="0.25">
      <c r="T97" s="99" t="str">
        <f>+Retribuciones!O31</f>
        <v>Secretario/a IES, CEO, EA. Centro Tipo B (de 901 a 1649 Alumnos)</v>
      </c>
      <c r="U97" s="75">
        <f>+Retribuciones!P31</f>
        <v>327.08999999999997</v>
      </c>
    </row>
    <row r="98" spans="20:22" x14ac:dyDescent="0.25">
      <c r="T98" s="98" t="str">
        <f>+Retribuciones!O32</f>
        <v>Secretario/a IES, CEO, EA. Centro Tipo C (de 581 a 900 Alumnos)</v>
      </c>
      <c r="U98" s="75">
        <f>+Retribuciones!P32</f>
        <v>253.88</v>
      </c>
    </row>
    <row r="99" spans="20:22" x14ac:dyDescent="0.25">
      <c r="T99" s="98" t="str">
        <f>+Retribuciones!O33</f>
        <v>Secretario/a IES, CEO, EA. Centro Tipo D (hasta 580 Alumnos)</v>
      </c>
      <c r="U99" s="75">
        <f>+Retribuciones!P33</f>
        <v>203.13</v>
      </c>
    </row>
    <row r="100" spans="20:22" x14ac:dyDescent="0.25">
      <c r="T100" s="98" t="str">
        <f>+Retribuciones!O34</f>
        <v>Vicedirector/ra IES, CEO, EA. Centro Tipo A (1650 o más Alumnos)</v>
      </c>
      <c r="U100" s="75">
        <f>+Retribuciones!P34</f>
        <v>341.27</v>
      </c>
    </row>
    <row r="101" spans="20:22" x14ac:dyDescent="0.25">
      <c r="T101" s="98" t="str">
        <f>+Retribuciones!O35</f>
        <v>Vicedirector/ra IES, CEO, EA. Centro Tipo B (de 901 a 1649 Alumnos)</v>
      </c>
      <c r="U101" s="75">
        <f>+Retribuciones!P35</f>
        <v>327.08999999999997</v>
      </c>
    </row>
    <row r="102" spans="20:22" x14ac:dyDescent="0.25">
      <c r="T102" s="98" t="str">
        <f>+Retribuciones!O36</f>
        <v>Vicedirector/ra IES, CEO, EA. Centro Tipo C (de 581 a 900 Alumnos)</v>
      </c>
      <c r="U102" s="75">
        <f>+Retribuciones!P36</f>
        <v>253.88</v>
      </c>
    </row>
    <row r="103" spans="20:22" x14ac:dyDescent="0.25">
      <c r="T103" s="98" t="str">
        <f>+Retribuciones!O37</f>
        <v>Vicedirector/ra IES, CEO, EA. Centro Tipo D (hasta 580 Alumnos)</v>
      </c>
      <c r="U103" s="75">
        <f>+Retribuciones!P37</f>
        <v>203.13</v>
      </c>
    </row>
    <row r="104" spans="20:22" x14ac:dyDescent="0.25">
      <c r="T104" s="98" t="str">
        <f>+Retribuciones!O38</f>
        <v>Jefe Estudios Adjunto IES, CEO, EA. Centro Tipo A (1650 o más Alumnos)</v>
      </c>
      <c r="U104" s="75">
        <f>+Retribuciones!P38</f>
        <v>170.65</v>
      </c>
    </row>
    <row r="105" spans="20:22" x14ac:dyDescent="0.25">
      <c r="T105" s="99" t="str">
        <f>+Retribuciones!O39</f>
        <v>Jefe Estudios Adjunto IES, CEO, EA. Centro Tipo B (de 901 a 1649 Alumnos)</v>
      </c>
      <c r="U105" s="75">
        <f>+Retribuciones!P39</f>
        <v>163.57</v>
      </c>
    </row>
    <row r="106" spans="20:22" x14ac:dyDescent="0.25">
      <c r="T106" s="99" t="str">
        <f>+Retribuciones!O40</f>
        <v>Jefe Estudios Adjunto IES, CEO, EA. Centro Tipo C (de 581 a 900 Alumnos)</v>
      </c>
      <c r="U106" s="75">
        <f>+Retribuciones!P40</f>
        <v>126.98</v>
      </c>
    </row>
    <row r="107" spans="20:22" x14ac:dyDescent="0.25">
      <c r="T107" s="99" t="str">
        <f>+Retribuciones!O41</f>
        <v>Jefe Estudios Adjunto IES, CEO, EA. Centro Tipo D (hasta 580 Alumnos)</v>
      </c>
      <c r="U107" s="75">
        <f>+Retribuciones!P41</f>
        <v>101.61</v>
      </c>
    </row>
    <row r="108" spans="20:22" x14ac:dyDescent="0.25">
      <c r="T108" s="13" t="str">
        <f>+Retribuciones!O42</f>
        <v>Director de Centros de Profesores</v>
      </c>
      <c r="U108" s="75">
        <f>+Retribuciones!P42</f>
        <v>363.85</v>
      </c>
    </row>
    <row r="109" spans="20:22" x14ac:dyDescent="0.25">
      <c r="T109" s="13" t="str">
        <f>+Retribuciones!O43</f>
        <v>Director de Residencia Escolar Permanente</v>
      </c>
      <c r="U109" s="75">
        <f>+Retribuciones!P43</f>
        <v>337.67</v>
      </c>
    </row>
    <row r="110" spans="20:22" x14ac:dyDescent="0.25">
      <c r="T110" s="12" t="str">
        <f>+Retribuciones!O44</f>
        <v>Director de Residencia Escolar</v>
      </c>
      <c r="U110" s="75">
        <f>+Retribuciones!P44</f>
        <v>175.77</v>
      </c>
    </row>
    <row r="111" spans="20:22" x14ac:dyDescent="0.25">
      <c r="T111" s="12" t="str">
        <f>+Retribuciones!O45</f>
        <v>Coordinador EOEP</v>
      </c>
      <c r="U111" s="75">
        <f>+Retribuciones!P45</f>
        <v>105.86</v>
      </c>
    </row>
    <row r="112" spans="20:22" x14ac:dyDescent="0.25">
      <c r="T112" s="38" t="str">
        <f>+Retribuciones!O48</f>
        <v>Otros complementos: Jefe departamento, Encargado comedor, Maestros en Residencia, otros</v>
      </c>
      <c r="V112" s="38">
        <f>IF(B23=T113,U113,IF(B23=T114,U114,IF(B23=T115,U115,IF(B23=T116,U116,IF(B23=T117,U117,IF(B23=T118,U118,IF(B23=T119,U119,IF(B23=T120,U120,IF(B23=T121,U121,IF(B23=T122,U122,IF(B23=T123,U123,IF(B23=T124,U124,0))))))))))))</f>
        <v>0</v>
      </c>
    </row>
    <row r="113" spans="20:22" x14ac:dyDescent="0.25">
      <c r="T113" s="13" t="str">
        <f>+Retribuciones!O49</f>
        <v>Jefe de Departamento</v>
      </c>
      <c r="U113" s="75">
        <f>+Retribuciones!P49</f>
        <v>70.89</v>
      </c>
    </row>
    <row r="114" spans="20:22" x14ac:dyDescent="0.25">
      <c r="T114" s="12" t="str">
        <f>+Retribuciones!O46</f>
        <v>Coordinador de Servicios Centrales. Tipo A1 (A)</v>
      </c>
      <c r="U114" s="75">
        <f>+Retribuciones!P46</f>
        <v>412.01</v>
      </c>
    </row>
    <row r="115" spans="20:22" x14ac:dyDescent="0.25">
      <c r="T115" s="12" t="str">
        <f>+Retribuciones!O47</f>
        <v>Coordinador de Servicios Centrales. Tipo A2 (B)</v>
      </c>
      <c r="U115" s="75">
        <f>+Retribuciones!P47</f>
        <v>234.05</v>
      </c>
    </row>
    <row r="116" spans="20:22" x14ac:dyDescent="0.25">
      <c r="T116" s="13" t="str">
        <f>+Retribuciones!O50</f>
        <v>Encargado/a Comedor Gestión Directa. Módulo Hasta 100 comensales.</v>
      </c>
      <c r="U116" s="75">
        <f>+Retribuciones!P50</f>
        <v>139.4</v>
      </c>
    </row>
    <row r="117" spans="20:22" x14ac:dyDescent="0.25">
      <c r="T117" s="13" t="str">
        <f>+Retribuciones!O51</f>
        <v>Encargado/a Comedor Gestión Directa. Módulo De 101 a 300 comensales.</v>
      </c>
      <c r="U117" s="75">
        <f>+Retribuciones!P51</f>
        <v>147</v>
      </c>
    </row>
    <row r="118" spans="20:22" x14ac:dyDescent="0.25">
      <c r="T118" s="13" t="str">
        <f>+Retribuciones!O52</f>
        <v>Encargado/a Comedor Gestión Directa. Módulo Más de 300 comensales.</v>
      </c>
      <c r="U118" s="75">
        <f>+Retribuciones!P52</f>
        <v>157.80000000000001</v>
      </c>
    </row>
    <row r="119" spans="20:22" x14ac:dyDescent="0.25">
      <c r="T119" s="13" t="str">
        <f>+Retribuciones!O53</f>
        <v>Encargado/a Comedor Gestión Contratada. Módulo Hasta 100 comensales.</v>
      </c>
      <c r="U119" s="75">
        <f>+Retribuciones!P53</f>
        <v>121.7</v>
      </c>
    </row>
    <row r="120" spans="20:22" x14ac:dyDescent="0.25">
      <c r="T120" s="12" t="str">
        <f>+Retribuciones!O54</f>
        <v>Encargado/a Comedor Gestión Contratada. Módulo De 101 a 300 comensales.</v>
      </c>
      <c r="U120" s="75">
        <f>+Retribuciones!P54</f>
        <v>128.5</v>
      </c>
    </row>
    <row r="121" spans="20:22" x14ac:dyDescent="0.25">
      <c r="T121" s="12" t="str">
        <f>+Retribuciones!O55</f>
        <v>Encargado/a Comedor Gestión Contratada. Módulo Más de 300 comensales.</v>
      </c>
      <c r="U121" s="75">
        <f>+Retribuciones!P55</f>
        <v>135.80000000000001</v>
      </c>
    </row>
    <row r="122" spans="20:22" x14ac:dyDescent="0.25">
      <c r="T122" s="12" t="str">
        <f>+Retribuciones!O56</f>
        <v>Maestros de Ocio con Residencia Permanente</v>
      </c>
      <c r="U122" s="75">
        <f>+Retribuciones!P56</f>
        <v>152.49</v>
      </c>
    </row>
    <row r="123" spans="20:22" x14ac:dyDescent="0.25">
      <c r="T123" s="12" t="str">
        <f>+Retribuciones!O57</f>
        <v>Hora Lectiva Complementaria, Refuerzo Educativo. Grupo A1</v>
      </c>
      <c r="U123" s="75">
        <f>+Retribuciones!P57</f>
        <v>20.84</v>
      </c>
    </row>
    <row r="124" spans="20:22" x14ac:dyDescent="0.25">
      <c r="T124" s="12" t="str">
        <f>+Retribuciones!O58</f>
        <v>Hora Lectiva Complementaria, Refuerzo Educativo. Grupo A2</v>
      </c>
      <c r="U124" s="75">
        <f>+Retribuciones!P58</f>
        <v>17.73</v>
      </c>
    </row>
    <row r="125" spans="20:22" x14ac:dyDescent="0.25">
      <c r="T125" s="13" t="str">
        <f>+Retribuciones!O59</f>
        <v>Maestros de Primero y Segundo de Enseñanza Secundaria Obligatoria</v>
      </c>
      <c r="U125" s="75">
        <f>+Retribuciones!P59</f>
        <v>81.73</v>
      </c>
    </row>
    <row r="126" spans="20:22" x14ac:dyDescent="0.25">
      <c r="T126" s="101" t="str">
        <f>+Retribuciones!O60</f>
        <v>Otros complementos: Tutoría, AICLE/PILE, Coordinación</v>
      </c>
      <c r="V126" s="38">
        <f>IF(B24=T127,U127,IF(B24=T128,U128,IF(B24=T129,U129,IF(B24=T130,U130,IF(B24=T131,U131,IF(B24=T132,U132,IF(B24=T133,U133,IF(B24=T134,U134,IF(B24=T135,U135,IF(B24=T136,U136,IF(B24=T137,U137,0)))))))))))</f>
        <v>0</v>
      </c>
    </row>
    <row r="127" spans="20:22" x14ac:dyDescent="0.25">
      <c r="T127" s="13" t="str">
        <f>+Retribuciones!O61</f>
        <v xml:space="preserve">Coordinador/a Formación en Centros de Trabajo </v>
      </c>
      <c r="U127" s="75">
        <f>+Retribuciones!P61</f>
        <v>70.89</v>
      </c>
    </row>
    <row r="128" spans="20:22" x14ac:dyDescent="0.25">
      <c r="T128" s="13" t="str">
        <f>+Retribuciones!O62</f>
        <v>Tutoría</v>
      </c>
      <c r="U128" s="75">
        <f>+Retribuciones!P62</f>
        <v>35</v>
      </c>
    </row>
    <row r="129" spans="20:22" x14ac:dyDescent="0.25">
      <c r="T129" s="13" t="str">
        <f>+Retribuciones!O63</f>
        <v>Impartición docencia en lengua extranjera. Maestros de Inglés sin B2, ni C1, ni C2</v>
      </c>
      <c r="U129" s="75">
        <f>+Retribuciones!P63</f>
        <v>35</v>
      </c>
    </row>
    <row r="130" spans="20:22" x14ac:dyDescent="0.25">
      <c r="T130" s="13" t="str">
        <f>+Retribuciones!O64</f>
        <v>Impartición docencia en lengua extranjera. Profesorado con B2</v>
      </c>
      <c r="U130" s="75">
        <f>+Retribuciones!P64</f>
        <v>35</v>
      </c>
    </row>
    <row r="131" spans="20:22" x14ac:dyDescent="0.25">
      <c r="T131" s="13" t="str">
        <f>+Retribuciones!O65</f>
        <v>Impartición docencia en lengua extranjera. Profesorado con C1 o C2</v>
      </c>
      <c r="U131" s="75">
        <f>+Retribuciones!P65</f>
        <v>45</v>
      </c>
    </row>
    <row r="132" spans="20:22" x14ac:dyDescent="0.25">
      <c r="T132" s="13" t="str">
        <f>+Retribuciones!O66</f>
        <v>Coordinación impartición docencia en lengua extranjera. Nivel B2</v>
      </c>
      <c r="U132" s="75">
        <f>+Retribuciones!P66</f>
        <v>45</v>
      </c>
    </row>
    <row r="133" spans="20:22" x14ac:dyDescent="0.25">
      <c r="T133" s="13" t="str">
        <f>+Retribuciones!O67</f>
        <v>Coordinación impartición docencia en lengua extranjera. Nivel C1 o C2</v>
      </c>
      <c r="U133" s="75">
        <f>+Retribuciones!P67</f>
        <v>55</v>
      </c>
    </row>
    <row r="134" spans="20:22" x14ac:dyDescent="0.25">
      <c r="T134" s="13" t="str">
        <f>+Retribuciones!O68</f>
        <v>Coordinación en convivencia</v>
      </c>
      <c r="U134" s="75">
        <f>+Retribuciones!P68</f>
        <v>30</v>
      </c>
    </row>
    <row r="135" spans="20:22" x14ac:dyDescent="0.25">
      <c r="T135" s="13" t="str">
        <f>+Retribuciones!O69</f>
        <v>Coordinación en prevención de riesgos laborales</v>
      </c>
      <c r="U135" s="75">
        <f>+Retribuciones!P69</f>
        <v>30</v>
      </c>
    </row>
    <row r="136" spans="20:22" x14ac:dyDescent="0.25">
      <c r="T136" s="13" t="str">
        <f>+Retribuciones!O70</f>
        <v>Coordinación en tecnologías de la información y la comunicación (TIC)</v>
      </c>
      <c r="U136" s="75">
        <f>+Retribuciones!P70</f>
        <v>30</v>
      </c>
    </row>
    <row r="137" spans="20:22" ht="15.75" x14ac:dyDescent="0.25">
      <c r="T137" s="175"/>
      <c r="U137" s="175"/>
    </row>
    <row r="138" spans="20:22" x14ac:dyDescent="0.25">
      <c r="T138" s="101" t="s">
        <v>229</v>
      </c>
      <c r="V138" s="38">
        <f>IF(B25=T139,U139,IF(B25=T140,U140,IF(B25=T141,U141,IF(B25=T142,U142,IF(B25=T143,U143,IF(B25=T144,U144,IF(B25=T145,U145,IF(B25=T146,U146,IF(B25=T147,U147,0)))))))))</f>
        <v>0</v>
      </c>
    </row>
    <row r="139" spans="20:22" x14ac:dyDescent="0.25">
      <c r="T139" s="13" t="str">
        <f>+Retribuciones!O63</f>
        <v>Impartición docencia en lengua extranjera. Maestros de Inglés sin B2, ni C1, ni C2</v>
      </c>
      <c r="U139" s="75">
        <f>+Retribuciones!P63</f>
        <v>35</v>
      </c>
    </row>
    <row r="140" spans="20:22" x14ac:dyDescent="0.25">
      <c r="T140" s="13" t="str">
        <f>+Retribuciones!O64</f>
        <v>Impartición docencia en lengua extranjera. Profesorado con B2</v>
      </c>
      <c r="U140" s="75">
        <f>+Retribuciones!P64</f>
        <v>35</v>
      </c>
    </row>
    <row r="141" spans="20:22" x14ac:dyDescent="0.25">
      <c r="T141" s="13" t="str">
        <f>+Retribuciones!O65</f>
        <v>Impartición docencia en lengua extranjera. Profesorado con C1 o C2</v>
      </c>
      <c r="U141" s="75">
        <f>+Retribuciones!P65</f>
        <v>45</v>
      </c>
    </row>
    <row r="142" spans="20:22" x14ac:dyDescent="0.25">
      <c r="T142" s="13" t="str">
        <f>+Retribuciones!O66</f>
        <v>Coordinación impartición docencia en lengua extranjera. Nivel B2</v>
      </c>
      <c r="U142" s="75">
        <f>+Retribuciones!P66</f>
        <v>45</v>
      </c>
    </row>
    <row r="143" spans="20:22" x14ac:dyDescent="0.25">
      <c r="T143" s="13" t="str">
        <f>+Retribuciones!O67</f>
        <v>Coordinación impartición docencia en lengua extranjera. Nivel C1 o C2</v>
      </c>
      <c r="U143" s="75">
        <f>+Retribuciones!P67</f>
        <v>55</v>
      </c>
    </row>
    <row r="144" spans="20:22" x14ac:dyDescent="0.25">
      <c r="T144" s="13" t="str">
        <f>+Retribuciones!O68</f>
        <v>Coordinación en convivencia</v>
      </c>
      <c r="U144" s="75">
        <f>+Retribuciones!P68</f>
        <v>30</v>
      </c>
    </row>
    <row r="145" spans="20:21" x14ac:dyDescent="0.25">
      <c r="T145" s="13" t="str">
        <f>+Retribuciones!O69</f>
        <v>Coordinación en prevención de riesgos laborales</v>
      </c>
      <c r="U145" s="75">
        <f>+Retribuciones!P69</f>
        <v>30</v>
      </c>
    </row>
    <row r="146" spans="20:21" x14ac:dyDescent="0.25">
      <c r="T146" s="13" t="str">
        <f>+Retribuciones!O70</f>
        <v>Coordinación en tecnologías de la información y la comunicación (TIC)</v>
      </c>
      <c r="U146" s="75">
        <f>+Retribuciones!P70</f>
        <v>30</v>
      </c>
    </row>
    <row r="147" spans="20:21" x14ac:dyDescent="0.25">
      <c r="T147" s="56"/>
      <c r="U147" s="56"/>
    </row>
  </sheetData>
  <sheetProtection algorithmName="SHA-512" hashValue="f3Fw360WA4HauovY5W4VfJGtqc1Xgmp8UPP2GR4GJhuXT7U3XPTN/u6IKlUOmytyXZuMonMaM7Tsg5MKN0EYCw==" saltValue="5XFKYaa+sKgHkyjAdisI4w==" spinCount="100000" sheet="1" objects="1" scenarios="1"/>
  <dataConsolidate/>
  <mergeCells count="53">
    <mergeCell ref="B1:E1"/>
    <mergeCell ref="B2:E2"/>
    <mergeCell ref="B46:C46"/>
    <mergeCell ref="B22:D22"/>
    <mergeCell ref="B53:C53"/>
    <mergeCell ref="B45:C45"/>
    <mergeCell ref="B47:C47"/>
    <mergeCell ref="B50:C50"/>
    <mergeCell ref="B51:C51"/>
    <mergeCell ref="B52:C52"/>
    <mergeCell ref="B37:C37"/>
    <mergeCell ref="B41:C41"/>
    <mergeCell ref="B31:C31"/>
    <mergeCell ref="B32:C32"/>
    <mergeCell ref="B33:C33"/>
    <mergeCell ref="B34:C34"/>
    <mergeCell ref="B39:C39"/>
    <mergeCell ref="B40:C40"/>
    <mergeCell ref="B5:C5"/>
    <mergeCell ref="B6:C6"/>
    <mergeCell ref="B7:C7"/>
    <mergeCell ref="B9:C9"/>
    <mergeCell ref="B10:C10"/>
    <mergeCell ref="B8:C8"/>
    <mergeCell ref="B11:C11"/>
    <mergeCell ref="B18:C18"/>
    <mergeCell ref="B17:C17"/>
    <mergeCell ref="B12:C12"/>
    <mergeCell ref="B13:C13"/>
    <mergeCell ref="B14:C14"/>
    <mergeCell ref="B15:C15"/>
    <mergeCell ref="B16:C16"/>
    <mergeCell ref="B30:C30"/>
    <mergeCell ref="B23:D23"/>
    <mergeCell ref="B24:D24"/>
    <mergeCell ref="B25:D25"/>
    <mergeCell ref="B38:C38"/>
    <mergeCell ref="B35:C35"/>
    <mergeCell ref="B19:C19"/>
    <mergeCell ref="B20:C20"/>
    <mergeCell ref="B21:C21"/>
    <mergeCell ref="B28:C28"/>
    <mergeCell ref="B29:C29"/>
    <mergeCell ref="F52:F53"/>
    <mergeCell ref="B42:C42"/>
    <mergeCell ref="B43:C43"/>
    <mergeCell ref="B44:C44"/>
    <mergeCell ref="B64:E64"/>
    <mergeCell ref="B60:C60"/>
    <mergeCell ref="B62:C62"/>
    <mergeCell ref="B55:C55"/>
    <mergeCell ref="B57:C57"/>
    <mergeCell ref="B59:C59"/>
  </mergeCells>
  <dataValidations count="15">
    <dataValidation type="list" allowBlank="1" showInputMessage="1" showErrorMessage="1" sqref="D6" xr:uid="{A7E03421-A2B9-4471-B6A7-2C656D5EC870}">
      <formula1>$G$2:$G$4</formula1>
    </dataValidation>
    <dataValidation type="list" allowBlank="1" showInputMessage="1" showErrorMessage="1" sqref="D5" xr:uid="{F00C1672-0C6D-4C71-99E3-DFE90FEAF717}">
      <formula1>$H$2:$H$12</formula1>
    </dataValidation>
    <dataValidation type="list" allowBlank="1" showInputMessage="1" showErrorMessage="1" sqref="D19 D7" xr:uid="{9EC1166B-BD78-468A-AA99-8A1494ED61C2}">
      <formula1>$I$2:$I$3</formula1>
    </dataValidation>
    <dataValidation type="list" allowBlank="1" showInputMessage="1" showErrorMessage="1" sqref="D9" xr:uid="{CF3280A4-5A19-407F-BCC6-320B5F6DBB32}">
      <formula1>$J$2:$J$3</formula1>
    </dataValidation>
    <dataValidation type="list" allowBlank="1" showInputMessage="1" showErrorMessage="1" sqref="D12" xr:uid="{7FB5805A-EB28-4914-BD59-2056BCAD102C}">
      <formula1>$K$2:$K$3</formula1>
    </dataValidation>
    <dataValidation type="list" allowBlank="1" showInputMessage="1" showErrorMessage="1" sqref="D14" xr:uid="{25FEFAE8-D907-4B15-A0CD-5CBB523CFA88}">
      <formula1>$L$2:$L$3</formula1>
    </dataValidation>
    <dataValidation type="list" allowBlank="1" showInputMessage="1" showErrorMessage="1" sqref="D16" xr:uid="{AD9A4D7E-82BB-4362-B076-A6B2DC969B71}">
      <formula1>$M$2:$M$5</formula1>
    </dataValidation>
    <dataValidation type="list" allowBlank="1" showInputMessage="1" showErrorMessage="1" sqref="D13" xr:uid="{4AD435B9-C098-4B12-8806-D8AE6A8876C0}">
      <formula1>$G$12:$G$42</formula1>
    </dataValidation>
    <dataValidation type="list" allowBlank="1" showInputMessage="1" showErrorMessage="1" sqref="D10:D11" xr:uid="{D9170AF0-2923-4FF3-8F1D-390BA16A9CFC}">
      <formula1>$G$12:$G$54</formula1>
    </dataValidation>
    <dataValidation type="list" allowBlank="1" showInputMessage="1" showErrorMessage="1" sqref="D15" xr:uid="{3994C817-9999-4C1F-B182-176243218AD0}">
      <formula1>$H$13:$H$58</formula1>
    </dataValidation>
    <dataValidation type="list" allowBlank="1" showInputMessage="1" showErrorMessage="1" sqref="B22" xr:uid="{913B2422-F2A3-473E-97B0-8380163C6877}">
      <formula1>$T$69:$T$111</formula1>
    </dataValidation>
    <dataValidation type="list" allowBlank="1" showInputMessage="1" showErrorMessage="1" sqref="B23:D23" xr:uid="{DD2924D4-F170-437D-8F40-554909D1C5ED}">
      <formula1>$T$112:$T$125</formula1>
    </dataValidation>
    <dataValidation type="list" allowBlank="1" showInputMessage="1" showErrorMessage="1" sqref="B24:D24" xr:uid="{A5EBC093-E41B-4BB9-B933-E51148C25B8C}">
      <formula1>$T$126:$T$137</formula1>
    </dataValidation>
    <dataValidation type="list" allowBlank="1" showInputMessage="1" showErrorMessage="1" sqref="B25:D25" xr:uid="{57BCE3FC-C718-4ADB-948E-51927B10D931}">
      <formula1>$T$138:$T$147</formula1>
    </dataValidation>
    <dataValidation type="list" allowBlank="1" showInputMessage="1" showErrorMessage="1" sqref="D8" xr:uid="{E34EECCC-BC4F-4213-A656-8FF2D6C3EBB0}">
      <formula1>"0,1,2,3,4,5,6,7,8,9,10,11,12"</formula1>
    </dataValidation>
  </dataValidations>
  <hyperlinks>
    <hyperlink ref="F16" r:id="rId1" display="Computo de plazaos en las pagas extras" xr:uid="{B14ECEF8-1434-40D8-8FE7-BF3DA1B5E299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204D-63F9-4CDF-ADCE-F41624BF3ECB}">
  <dimension ref="A1:AI140"/>
  <sheetViews>
    <sheetView topLeftCell="A1048576" workbookViewId="0">
      <selection sqref="A1:XFD1048576"/>
    </sheetView>
  </sheetViews>
  <sheetFormatPr baseColWidth="10" defaultRowHeight="15.75" zeroHeight="1" x14ac:dyDescent="0.25"/>
  <cols>
    <col min="1" max="1" width="1.85546875" style="1" customWidth="1"/>
    <col min="2" max="2" width="67.5703125" style="1" customWidth="1"/>
    <col min="3" max="3" width="19.42578125" style="1" customWidth="1"/>
    <col min="4" max="4" width="16.5703125" style="1" customWidth="1"/>
    <col min="5" max="5" width="16.85546875" style="1" customWidth="1"/>
    <col min="6" max="6" width="12.85546875" style="1" customWidth="1"/>
    <col min="7" max="7" width="16.7109375" style="1" customWidth="1"/>
    <col min="8" max="8" width="3.140625" style="1" customWidth="1"/>
    <col min="9" max="9" width="11.5703125" style="1" customWidth="1"/>
    <col min="10" max="10" width="13.28515625" style="1" customWidth="1"/>
    <col min="11" max="11" width="12.42578125" style="1" bestFit="1" customWidth="1"/>
    <col min="12" max="12" width="38.5703125" style="1" bestFit="1" customWidth="1"/>
    <col min="13" max="13" width="10" style="1" customWidth="1"/>
    <col min="14" max="14" width="3.28515625" style="1" customWidth="1"/>
    <col min="15" max="15" width="6" style="1" customWidth="1"/>
    <col min="16" max="16" width="49.28515625" style="36" customWidth="1"/>
    <col min="17" max="18" width="15.7109375" style="1" customWidth="1"/>
    <col min="19" max="19" width="76.85546875" style="1" customWidth="1"/>
    <col min="20" max="20" width="8.140625" style="1" customWidth="1"/>
    <col min="21" max="23" width="15.7109375" style="1" customWidth="1"/>
    <col min="24" max="24" width="8.28515625" style="1" customWidth="1"/>
    <col min="25" max="25" width="7.42578125" style="1" customWidth="1"/>
    <col min="26" max="39" width="15.7109375" style="1" customWidth="1"/>
    <col min="40" max="144" width="25.85546875" style="1" customWidth="1"/>
    <col min="145" max="16384" width="11.42578125" style="1"/>
  </cols>
  <sheetData>
    <row r="1" spans="2:35" s="35" customFormat="1" ht="18" hidden="1" x14ac:dyDescent="0.25">
      <c r="B1" s="285" t="s">
        <v>201</v>
      </c>
      <c r="C1" s="286"/>
      <c r="D1" s="286"/>
      <c r="E1" s="287"/>
      <c r="H1" s="1"/>
      <c r="P1" s="36"/>
    </row>
    <row r="2" spans="2:35" s="35" customFormat="1" ht="18" hidden="1" x14ac:dyDescent="0.25">
      <c r="B2" s="288" t="s">
        <v>203</v>
      </c>
      <c r="C2" s="289"/>
      <c r="D2" s="289"/>
      <c r="E2" s="290"/>
      <c r="H2" s="1"/>
      <c r="P2" s="36"/>
    </row>
    <row r="3" spans="2:35" s="35" customFormat="1" ht="18" hidden="1" x14ac:dyDescent="0.25">
      <c r="B3" s="291" t="s">
        <v>152</v>
      </c>
      <c r="C3" s="292"/>
      <c r="D3" s="292"/>
      <c r="E3" s="293"/>
      <c r="H3" s="1"/>
      <c r="P3" s="36"/>
    </row>
    <row r="4" spans="2:35" ht="3.75" hidden="1" customHeight="1" x14ac:dyDescent="0.25">
      <c r="G4" s="30"/>
      <c r="I4" s="30"/>
      <c r="J4" s="30"/>
      <c r="K4" s="30"/>
    </row>
    <row r="5" spans="2:35" ht="16.5" hidden="1" thickBot="1" x14ac:dyDescent="0.3">
      <c r="B5" s="34" t="s">
        <v>54</v>
      </c>
      <c r="C5" s="294" t="str">
        <f>+Nómina!D5</f>
        <v>597-Maestros</v>
      </c>
      <c r="D5" s="294"/>
      <c r="E5" s="295"/>
      <c r="F5" s="296" t="s">
        <v>169</v>
      </c>
      <c r="G5" s="297"/>
      <c r="I5" s="30"/>
      <c r="J5" s="30"/>
      <c r="K5" s="30"/>
    </row>
    <row r="6" spans="2:35" ht="15.75" hidden="1" customHeight="1" x14ac:dyDescent="0.25">
      <c r="B6" s="34" t="s">
        <v>55</v>
      </c>
      <c r="C6" s="277" t="str">
        <f>+Nómina!D6</f>
        <v>Interino</v>
      </c>
      <c r="D6" s="278"/>
      <c r="E6" s="279" t="s">
        <v>208</v>
      </c>
      <c r="F6" s="30"/>
      <c r="G6" s="30"/>
      <c r="I6" s="30"/>
      <c r="J6" s="30"/>
      <c r="K6" s="30"/>
    </row>
    <row r="7" spans="2:35" hidden="1" x14ac:dyDescent="0.25">
      <c r="B7" s="34" t="s">
        <v>191</v>
      </c>
      <c r="C7" s="281">
        <f>+Nómina!D10</f>
        <v>12</v>
      </c>
      <c r="D7" s="282"/>
      <c r="E7" s="280"/>
      <c r="F7" s="30"/>
      <c r="G7" s="30"/>
      <c r="I7" s="30"/>
      <c r="J7" s="30"/>
      <c r="K7" s="30"/>
    </row>
    <row r="8" spans="2:35" ht="15" hidden="1" customHeight="1" x14ac:dyDescent="0.25">
      <c r="B8" s="34" t="s">
        <v>192</v>
      </c>
      <c r="C8" s="281">
        <f>+Nómina!D11</f>
        <v>12</v>
      </c>
      <c r="D8" s="282"/>
      <c r="E8" s="280"/>
      <c r="F8" s="30"/>
      <c r="G8" s="30"/>
      <c r="I8" s="30"/>
      <c r="J8" s="30"/>
      <c r="K8" s="30"/>
    </row>
    <row r="9" spans="2:35" ht="15" hidden="1" customHeight="1" x14ac:dyDescent="0.25">
      <c r="B9" s="34" t="s">
        <v>187</v>
      </c>
      <c r="C9" s="283" t="str">
        <f>IF(+Nómina!D7="Sí","S","N")</f>
        <v>N</v>
      </c>
      <c r="D9" s="284"/>
      <c r="E9" s="280"/>
      <c r="F9" s="30"/>
      <c r="G9" s="30"/>
      <c r="I9" s="30"/>
      <c r="J9" s="30"/>
      <c r="K9" s="30"/>
    </row>
    <row r="10" spans="2:35" ht="15" hidden="1" customHeight="1" thickBot="1" x14ac:dyDescent="0.3">
      <c r="B10" s="142" t="s">
        <v>56</v>
      </c>
      <c r="C10" s="300"/>
      <c r="D10" s="301"/>
      <c r="E10" s="280"/>
      <c r="F10" s="30"/>
      <c r="G10" s="30"/>
      <c r="I10" s="30"/>
      <c r="J10" s="30"/>
      <c r="K10" s="30"/>
    </row>
    <row r="11" spans="2:35" ht="15" hidden="1" customHeight="1" x14ac:dyDescent="0.25">
      <c r="B11" s="144" t="str">
        <f>IF(AND(C10="Diciembre",C6="Interino"),"Días trabajados entre sep-oct-nov",IF(AND(C10="Junio",C6="Interino"),"Días trabajados entre dic-ene-feb-mar-abr-may",IF(AND(C10="Agosto",C6="Interino"),"Días trabajados entre jun-jul-ago","")))</f>
        <v/>
      </c>
      <c r="C11" s="302"/>
      <c r="D11" s="303"/>
      <c r="E11" s="145" t="str">
        <f>IF(AND(C10="Diciembre",C6="Interino"),"Para cálculo de paga extra de Sueldo Base, Trienios y Complemento destino",IF(AND(C10="Junio",C6="Interino"),"Para cálculo de paga extra de Sueldo Base, Trienios y Complemento destino",IF(AND(C10="Agosto",C6="Interino"),"Para cálculo de paga extra de Sueldo Base, Trienios y Complemento destino","")))</f>
        <v/>
      </c>
      <c r="F11" s="146"/>
      <c r="G11" s="146"/>
      <c r="H11" s="146"/>
      <c r="I11" s="146"/>
      <c r="J11" s="147"/>
      <c r="K11" s="30"/>
    </row>
    <row r="12" spans="2:35" ht="15" hidden="1" customHeight="1" thickBot="1" x14ac:dyDescent="0.3">
      <c r="B12" s="148" t="str">
        <f>IF(AND(C10="Diciembre",C6="Interino"),"Días trabajados entre sep-oct-nov-dic",IF(AND(C10="Junio",C6="Interino"),"Días trabajados entre ene-feb-mar-abr-may-jun",IF(AND(C10="Agosto",C6="Interino"),"Días trabajados entre jul-ago","")))</f>
        <v/>
      </c>
      <c r="C12" s="304"/>
      <c r="D12" s="305"/>
      <c r="E12" s="149" t="str">
        <f>IF(AND(C10="Diciembre",C6="Interino"),"Para cálculo de paga extra de Adicional Complemento destino y Sexenios",IF(AND(C10="Junio",C6="Interino"),"Para cálculo de paga extra de Adicional Complemento destino y Sexenios",IF(AND(C10="Agosto",C6="Interino"),"Para cálculo de paga extra de Adicional Complemento destino y Sexenios","")))</f>
        <v/>
      </c>
      <c r="F12" s="150"/>
      <c r="G12" s="150"/>
      <c r="H12" s="150"/>
      <c r="I12" s="150"/>
      <c r="J12" s="151"/>
      <c r="K12" s="30"/>
    </row>
    <row r="13" spans="2:35" ht="15" hidden="1" customHeight="1" x14ac:dyDescent="0.25">
      <c r="B13" s="143" t="s">
        <v>164</v>
      </c>
      <c r="C13" s="306" t="str">
        <f>IF(+Nómina!D9="No capitalina","S","N")</f>
        <v>N</v>
      </c>
      <c r="D13" s="306"/>
      <c r="E13" s="141"/>
      <c r="F13" s="30"/>
      <c r="G13" s="30"/>
      <c r="I13" s="30"/>
      <c r="J13" s="30"/>
      <c r="K13" s="30"/>
    </row>
    <row r="14" spans="2:35" ht="15" hidden="1" customHeight="1" x14ac:dyDescent="0.25">
      <c r="B14" s="134" t="s">
        <v>195</v>
      </c>
      <c r="C14" s="307">
        <f>+Nómina!D15</f>
        <v>0</v>
      </c>
      <c r="D14" s="308"/>
      <c r="E14" s="137" t="s">
        <v>207</v>
      </c>
      <c r="F14" s="138"/>
      <c r="G14" s="112" t="s">
        <v>200</v>
      </c>
      <c r="H14" s="128"/>
      <c r="I14" s="113"/>
      <c r="J14" s="114"/>
      <c r="K14" s="113"/>
      <c r="L14" s="129"/>
      <c r="M14" s="128"/>
      <c r="N14" s="128"/>
      <c r="O14" s="128"/>
      <c r="P14" s="139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9"/>
    </row>
    <row r="15" spans="2:35" ht="15" hidden="1" customHeight="1" x14ac:dyDescent="0.2">
      <c r="B15" s="134" t="s">
        <v>196</v>
      </c>
      <c r="C15" s="309">
        <v>1</v>
      </c>
      <c r="D15" s="310"/>
      <c r="E15" s="137" t="s">
        <v>209</v>
      </c>
      <c r="F15" s="138"/>
      <c r="G15" s="112" t="s">
        <v>197</v>
      </c>
      <c r="H15" s="129"/>
      <c r="I15" s="113"/>
      <c r="J15" s="113"/>
      <c r="K15" s="114"/>
      <c r="P15" s="1"/>
    </row>
    <row r="16" spans="2:35" ht="4.5" hidden="1" customHeight="1" x14ac:dyDescent="0.25">
      <c r="B16" s="34"/>
      <c r="C16" s="311"/>
      <c r="D16" s="312"/>
      <c r="F16" s="30"/>
      <c r="G16" s="30"/>
      <c r="I16" s="30"/>
      <c r="J16" s="30"/>
      <c r="K16" s="30"/>
      <c r="Q16" s="105"/>
      <c r="R16" s="105"/>
      <c r="S16" s="105"/>
      <c r="T16" s="105"/>
      <c r="U16" s="105"/>
      <c r="V16" s="105"/>
      <c r="W16" s="105"/>
      <c r="X16" s="106"/>
    </row>
    <row r="17" spans="1:24" ht="15" hidden="1" customHeight="1" x14ac:dyDescent="0.25">
      <c r="B17" s="58" t="str">
        <f>IF(C6=P70,"Funcionario Interino. Estimación % de retención anual de IRPF.","Funcionarios Carrera. Estimación % de retención anual de IRPF.")</f>
        <v>Funcionario Interino. Estimación % de retención anual de IRPF.</v>
      </c>
      <c r="C17" s="313">
        <f>IF(C6="Interino",+'IRPF meses nombrado'!B35,+'IRPF año completo'!B35)</f>
        <v>0.14049334001135094</v>
      </c>
      <c r="D17" s="313"/>
      <c r="E17" s="117" t="str">
        <f>IF(C6=P70,"Jornada Completa. De Enero a Agosto 2020.","Jornada Completa. Año natural")</f>
        <v>Jornada Completa. De Enero a Agosto 2020.</v>
      </c>
      <c r="F17" s="110"/>
      <c r="G17" s="111"/>
      <c r="I17" s="116">
        <f>IF(C6=P70,+'IRPF año completo'!B35+((+'IRPF año completo'!B35-C17)*2),"")</f>
        <v>0.28153210323600902</v>
      </c>
      <c r="J17" s="118" t="str">
        <f>IF(C6=P70,"Estimación de la retención de septiembre a diciembre 2019","")</f>
        <v>Estimación de la retención de septiembre a diciembre 2019</v>
      </c>
      <c r="K17" s="115"/>
      <c r="L17" s="119"/>
    </row>
    <row r="18" spans="1:24" ht="8.25" hidden="1" customHeight="1" x14ac:dyDescent="0.25">
      <c r="B18" s="2"/>
      <c r="C18" s="2"/>
      <c r="D18" s="2"/>
      <c r="F18" s="30"/>
      <c r="G18" s="30"/>
      <c r="I18" s="30"/>
      <c r="J18" s="30"/>
      <c r="K18" s="30"/>
    </row>
    <row r="19" spans="1:24" ht="16.5" hidden="1" customHeight="1" x14ac:dyDescent="0.25">
      <c r="A19" s="30"/>
      <c r="B19" s="30"/>
      <c r="C19" s="30"/>
      <c r="D19" s="314" t="s">
        <v>198</v>
      </c>
      <c r="E19" s="314"/>
      <c r="F19" s="314"/>
      <c r="G19" s="314"/>
      <c r="H19" s="30"/>
      <c r="I19" s="30"/>
      <c r="J19" s="30"/>
      <c r="K19" s="30"/>
    </row>
    <row r="20" spans="1:24" ht="16.5" hidden="1" customHeight="1" x14ac:dyDescent="0.25">
      <c r="A20" s="30"/>
      <c r="B20" s="30"/>
      <c r="C20" s="30"/>
      <c r="D20" s="315" t="s">
        <v>204</v>
      </c>
      <c r="E20" s="316"/>
      <c r="F20" s="317" t="s">
        <v>206</v>
      </c>
      <c r="G20" s="318"/>
      <c r="H20" s="30"/>
      <c r="I20" s="30"/>
      <c r="J20" s="30"/>
      <c r="K20" s="30"/>
    </row>
    <row r="21" spans="1:24" ht="25.5" hidden="1" x14ac:dyDescent="0.25">
      <c r="C21" s="14" t="s">
        <v>188</v>
      </c>
      <c r="D21" s="152" t="s">
        <v>210</v>
      </c>
      <c r="E21" s="153" t="s">
        <v>205</v>
      </c>
      <c r="F21" s="152" t="s">
        <v>210</v>
      </c>
      <c r="G21" s="153" t="s">
        <v>205</v>
      </c>
      <c r="Q21" s="108"/>
      <c r="R21" s="108"/>
      <c r="S21" s="108"/>
      <c r="T21" s="108"/>
      <c r="U21" s="108"/>
      <c r="V21" s="108"/>
      <c r="W21" s="108"/>
      <c r="X21" s="109"/>
    </row>
    <row r="22" spans="1:24" ht="15" hidden="1" customHeight="1" x14ac:dyDescent="0.25">
      <c r="B22" s="22" t="s">
        <v>2</v>
      </c>
      <c r="C22" s="20" t="str">
        <f>+Retribuciones!T3</f>
        <v>A2</v>
      </c>
      <c r="D22" s="157">
        <f>+Retribuciones!T5</f>
        <v>1071.06</v>
      </c>
      <c r="E22" s="130">
        <f t="shared" ref="E22:E34" si="0">+(D22/30)*C$15</f>
        <v>35.701999999999998</v>
      </c>
      <c r="F22" s="157">
        <f>IF(OR(C$5=P$92,C$5=P$93,C$5=P$94,C$5=P$95,C$5=P$96,C$5=P$97,C$5=P$98,C$5=P$99),(D22/18)*C$14,(D22/25)*C$14)</f>
        <v>0</v>
      </c>
      <c r="G22" s="136">
        <f>+(F22/30)*C$15</f>
        <v>0</v>
      </c>
      <c r="I22" s="30"/>
      <c r="J22" s="30"/>
      <c r="K22" s="30"/>
    </row>
    <row r="23" spans="1:24" ht="15" hidden="1" customHeight="1" x14ac:dyDescent="0.25">
      <c r="B23" s="60" t="str">
        <f>CONCATENATE("Trienios (Gr.",C23,"-",INT(+C7/3),")")</f>
        <v>Trienios (Gr.A2-4)</v>
      </c>
      <c r="C23" s="20" t="str">
        <f>+C22</f>
        <v>A2</v>
      </c>
      <c r="D23" s="131">
        <f>Retribuciones!T7*INT($C$7/3)</f>
        <v>155.52000000000001</v>
      </c>
      <c r="E23" s="130">
        <f t="shared" si="0"/>
        <v>5.1840000000000002</v>
      </c>
      <c r="F23" s="136">
        <f t="shared" ref="F23:F39" si="1">IF(OR(C$5=P$92,C$5=P$93,C$5=P$94,C$5=P$95,C$5=P$96,C$5=P$97,C$5=P$98,C$5=P$99),(D23/18)*C$14,(D23/25)*C$14)</f>
        <v>0</v>
      </c>
      <c r="G23" s="136">
        <f t="shared" ref="G23:G44" si="2">+(F23/30)*C$15</f>
        <v>0</v>
      </c>
      <c r="I23" s="30"/>
      <c r="J23" s="30"/>
      <c r="K23" s="30"/>
    </row>
    <row r="24" spans="1:24" ht="15" hidden="1" customHeight="1" x14ac:dyDescent="0.25">
      <c r="B24" s="22" t="str">
        <f>IF(C13="s","Residencia en isla No Capitalina","Residencia en isla Capitalina")</f>
        <v>Residencia en isla Capitalina</v>
      </c>
      <c r="C24" s="31"/>
      <c r="D24" s="131">
        <f>IF($C$13="s",+Retribuciones!T24,Retribuciones!T23)</f>
        <v>130.98999999999998</v>
      </c>
      <c r="E24" s="130">
        <f t="shared" si="0"/>
        <v>4.3663333333333325</v>
      </c>
      <c r="F24" s="136">
        <f t="shared" si="1"/>
        <v>0</v>
      </c>
      <c r="G24" s="136">
        <f t="shared" si="2"/>
        <v>0</v>
      </c>
      <c r="I24" s="30"/>
      <c r="J24" s="30"/>
      <c r="K24" s="30"/>
    </row>
    <row r="25" spans="1:24" hidden="1" x14ac:dyDescent="0.25">
      <c r="B25" s="22" t="str">
        <f>IF(C13="s","Trienio en isla No Capitalina"," ")</f>
        <v xml:space="preserve"> </v>
      </c>
      <c r="C25" s="23"/>
      <c r="D25" s="131">
        <f>IF($C$13="s",Retribuciones!T25*INT($C$7/3),0)</f>
        <v>0</v>
      </c>
      <c r="E25" s="130">
        <f t="shared" si="0"/>
        <v>0</v>
      </c>
      <c r="F25" s="136">
        <f t="shared" si="1"/>
        <v>0</v>
      </c>
      <c r="G25" s="136">
        <f t="shared" si="2"/>
        <v>0</v>
      </c>
    </row>
    <row r="26" spans="1:24" hidden="1" x14ac:dyDescent="0.25">
      <c r="B26" s="27" t="s">
        <v>165</v>
      </c>
      <c r="C26" s="32"/>
      <c r="D26" s="131">
        <f>Retribuciones!T11</f>
        <v>730.78</v>
      </c>
      <c r="E26" s="130">
        <f t="shared" si="0"/>
        <v>24.359333333333332</v>
      </c>
      <c r="F26" s="136">
        <f t="shared" si="1"/>
        <v>0</v>
      </c>
      <c r="G26" s="136">
        <f t="shared" si="2"/>
        <v>0</v>
      </c>
    </row>
    <row r="27" spans="1:24" hidden="1" x14ac:dyDescent="0.25">
      <c r="B27" s="22" t="s">
        <v>166</v>
      </c>
      <c r="C27" s="21">
        <f>+Retribuciones!T4</f>
        <v>21</v>
      </c>
      <c r="D27" s="131">
        <f>Retribuciones!T9</f>
        <v>535.99</v>
      </c>
      <c r="E27" s="130">
        <f t="shared" si="0"/>
        <v>17.866333333333333</v>
      </c>
      <c r="F27" s="136">
        <f t="shared" si="1"/>
        <v>0</v>
      </c>
      <c r="G27" s="136">
        <f t="shared" si="2"/>
        <v>0</v>
      </c>
    </row>
    <row r="28" spans="1:24" hidden="1" x14ac:dyDescent="0.25">
      <c r="B28" s="27" t="str">
        <f>IF(AND($C$9="s",C5=P100),"Complemento nivelador maestros 1º y 2º ESO"," ")</f>
        <v xml:space="preserve"> </v>
      </c>
      <c r="C28" s="23"/>
      <c r="D28" s="131">
        <f>IF(AND($C$9="s",C5=Retribuciones!L2),Retribuciones!P59,0)</f>
        <v>0</v>
      </c>
      <c r="E28" s="130">
        <f t="shared" si="0"/>
        <v>0</v>
      </c>
      <c r="F28" s="136">
        <f t="shared" si="1"/>
        <v>0</v>
      </c>
      <c r="G28" s="136">
        <f t="shared" si="2"/>
        <v>0</v>
      </c>
    </row>
    <row r="29" spans="1:24" hidden="1" x14ac:dyDescent="0.25">
      <c r="B29" s="27" t="str">
        <f>IF(AND(C8&gt;5,C8&lt;12),"1º Sexenio",IF(AND(C8&gt;11,C8&lt;18),"2 Sexenios consolidados",IF(AND(C8&gt;17,C8&lt;24),"3 Sexenios consolidados",IF(AND(C8&gt;23,C8&lt;30),"4 Sexenios consolidados",IF(C8&gt;29,"5 Sexenios consolidados","")))))</f>
        <v>2 Sexenios consolidados</v>
      </c>
      <c r="C29" s="23"/>
      <c r="D29" s="131">
        <f>IF(AND(C8&gt;5,C8&lt;12),Retribuciones!T13,IF(AND(C8&gt;11,C8&lt;18),Retribuciones!E15,IF(AND(C8&gt;17,C8&lt;24),Retribuciones!E17,IF(AND(C8&gt;23,C8&lt;30),Retribuciones!E19,IF(C8&gt;29,Retribuciones!E21,0)))))</f>
        <v>119</v>
      </c>
      <c r="E29" s="130">
        <f t="shared" si="0"/>
        <v>3.9666666666666668</v>
      </c>
      <c r="F29" s="136">
        <f t="shared" si="1"/>
        <v>0</v>
      </c>
      <c r="G29" s="136">
        <f t="shared" si="2"/>
        <v>0</v>
      </c>
    </row>
    <row r="30" spans="1:24" hidden="1" x14ac:dyDescent="0.25">
      <c r="B30" s="27"/>
      <c r="C30" s="23"/>
      <c r="D30" s="131"/>
      <c r="E30" s="130">
        <f t="shared" si="0"/>
        <v>0</v>
      </c>
      <c r="F30" s="136">
        <f t="shared" si="1"/>
        <v>0</v>
      </c>
      <c r="G30" s="136">
        <f t="shared" si="2"/>
        <v>0</v>
      </c>
    </row>
    <row r="31" spans="1:24" hidden="1" x14ac:dyDescent="0.25">
      <c r="B31" s="27"/>
      <c r="C31" s="23"/>
      <c r="D31" s="131"/>
      <c r="E31" s="130">
        <f t="shared" si="0"/>
        <v>0</v>
      </c>
      <c r="F31" s="136">
        <f t="shared" si="1"/>
        <v>0</v>
      </c>
      <c r="G31" s="136">
        <f t="shared" si="2"/>
        <v>0</v>
      </c>
    </row>
    <row r="32" spans="1:24" hidden="1" x14ac:dyDescent="0.25">
      <c r="B32" s="27"/>
      <c r="C32" s="23"/>
      <c r="D32" s="131"/>
      <c r="E32" s="130">
        <f t="shared" si="0"/>
        <v>0</v>
      </c>
      <c r="F32" s="136">
        <f t="shared" si="1"/>
        <v>0</v>
      </c>
      <c r="G32" s="136">
        <f t="shared" si="2"/>
        <v>0</v>
      </c>
    </row>
    <row r="33" spans="2:9" hidden="1" x14ac:dyDescent="0.25">
      <c r="B33" s="27"/>
      <c r="C33" s="23"/>
      <c r="D33" s="131"/>
      <c r="E33" s="130">
        <f t="shared" si="0"/>
        <v>0</v>
      </c>
      <c r="F33" s="136">
        <f t="shared" si="1"/>
        <v>0</v>
      </c>
      <c r="G33" s="136">
        <f t="shared" si="2"/>
        <v>0</v>
      </c>
    </row>
    <row r="34" spans="2:9" hidden="1" x14ac:dyDescent="0.25">
      <c r="B34" s="27"/>
      <c r="C34" s="23"/>
      <c r="D34" s="131"/>
      <c r="E34" s="130">
        <f t="shared" si="0"/>
        <v>0</v>
      </c>
      <c r="F34" s="136">
        <f t="shared" si="1"/>
        <v>0</v>
      </c>
      <c r="G34" s="136">
        <f t="shared" si="2"/>
        <v>0</v>
      </c>
    </row>
    <row r="35" spans="2:9" hidden="1" x14ac:dyDescent="0.25">
      <c r="B35" s="27" t="str">
        <f>IF($C$10="junio","Paga extra junio, Sueldo Base",IF(AND($C$10="diciembre", C6="Interino"),"Paga extra diciembre (sep a dic), Sueldo Base",IF($C$10="agosto","Liquidación Paga extra diciembre, Sueldo Base",IF(AND($C$10="diciembre", C6="Carrera (anterior a 1 enero 2011)"),"Paga extra diciembre, Sueldo Base",IF(AND($C$10="diciembre", C6="Carrera (posterior a 1 enero 2011)"),"Paga extra diciembre, Sueldo Base"," ")))))</f>
        <v xml:space="preserve"> </v>
      </c>
      <c r="C35" s="23"/>
      <c r="D35" s="131">
        <f>IF($C$10="junio",Retribuciones!T6,IF(AND($C$10="diciembre",C6="Interino"),Retribuciones!T6/2,IF(AND($C$10="agosto",C6="Interino"),Retribuciones!T6/2,IF(AND($C$10="diciembre",C6="Carrera (anterior a 1 enero 2011)"),Retribuciones!T6,IF(AND($C$10="diciembre",C6="Carrera (posterior a 1 enero 2011)"),Retribuciones!T6,0)))))</f>
        <v>0</v>
      </c>
      <c r="E35" s="130">
        <f>IF($C10="Diciembre",(+$D35/90)*$C11,IF($C10="Junio",(+$D35/180)*$C11,IF($C10="Agosto",(+$D35/60)*$C11,0)))</f>
        <v>0</v>
      </c>
      <c r="F35" s="136">
        <f t="shared" si="1"/>
        <v>0</v>
      </c>
      <c r="G35" s="136">
        <f>IF($C$10="Diciembre",(+$F35/90)*$C$11,IF($C$10="Junio",(+$F35/180)*$C$11,IF($C$10="Agosto",(+$F35/60)*$C$11,0)))</f>
        <v>0</v>
      </c>
    </row>
    <row r="36" spans="2:9" ht="15" hidden="1" customHeight="1" x14ac:dyDescent="0.25">
      <c r="B36" s="27" t="str">
        <f>IF($C$10="junio","Paga extra junio, Trienios",IF(AND($C$10="diciembre",C6="Interino"),"Paga extra diciembre (Sep a dic), Trienios",IF($C$10="agosto","Liquidación Paga extra diciembre, Trienios",IF(AND($C$10="diciembre",C6="Carrera (anterior a 1 enero 2011)"),"Paga extra diciembre, Trienios",IF(AND($C$10="diciembre",C6="Carrera (posterior a 1 enero 2011)"),"Paga extra diciembre, Trienios"," ")))))</f>
        <v xml:space="preserve"> </v>
      </c>
      <c r="C36" s="23"/>
      <c r="D36" s="131">
        <f>IF($C$10="junio",Retribuciones!T8*INT($C$7/3),IF(AND($C$10="diciembre",C6="Interino"),(Retribuciones!T8*INT($C$7/3))/2,IF(AND($C$10="agosto",C6="Interino"),(Retribuciones!T8*INT($C$7/3))/2,IF(AND($C$10="diciembre",C6="Carrera (anterior a 1 enero 2011)"),(Retribuciones!T8*INT($C$7/3)),IF(AND($C$10="diciembre",C6="Carrera (posterior a 1 enero 2011)"),(Retribuciones!T8*INT($C$7/3)),0)))))</f>
        <v>0</v>
      </c>
      <c r="E36" s="130">
        <f>IF(C10="Diciembre",(+D36/90)*C11,IF(C10="Junio",(+D36/180)*C11,IF(C10="Agosto",(+D36/60)*C11,0)))</f>
        <v>0</v>
      </c>
      <c r="F36" s="136">
        <f t="shared" si="1"/>
        <v>0</v>
      </c>
      <c r="G36" s="136">
        <f>IF($C$10="Diciembre",(+$F36/90)*$C$11,IF($C$10="Junio",(+$F36/180)*$C$11,IF($C$10="Agosto",(+$F36/60)*$C$11,0)))</f>
        <v>0</v>
      </c>
    </row>
    <row r="37" spans="2:9" ht="15" hidden="1" customHeight="1" x14ac:dyDescent="0.25">
      <c r="B37" s="27" t="str">
        <f>IF($C$10="junio","Paga extra junio, Complemento Destino",IF(AND($C$10="diciembre",C6="Interino"),"Paga extra diciembre (sep a dic), Complemento Destino",IF($C$10="agosto","Liquidación Paga extra diciembre, CompLemento Destino",IF(AND($C$10="diciembre",C6="Carrera (anterior a 1 enero 2011)"),"Paga extra diciembre, CompLemento Destino",IF(AND($C$10="diciembre",C6="Carrera (posterior a 1 enero 2011)"),"Paga extra diciembre, CompLemento Destino"," ")))))</f>
        <v xml:space="preserve"> </v>
      </c>
      <c r="C37" s="23"/>
      <c r="D37" s="131">
        <f>IF($C$10="junio",Retribuciones!T10,IF(AND($C$10="diciembre",C6="Interino"),Retribuciones!T10/2,IF(AND($C$10="agosto",C6="Interino"),Retribuciones!T10/2,IF(AND($C$10="diciembre",C6="Carrera (anterior a 1 enero 2011)"),Retribuciones!T10,IF(AND($C$10="diciembre",C6="Carrera (posterior a 1 enero 2011)"),Retribuciones!T10,0)))))</f>
        <v>0</v>
      </c>
      <c r="E37" s="130">
        <f>IF(C10="Diciembre",(+D37/90)*C11,IF(C10="Junio",(+D37/180)*C11,IF(C10="Agosto",(+D37/60)*C11,0)))</f>
        <v>0</v>
      </c>
      <c r="F37" s="136">
        <f t="shared" si="1"/>
        <v>0</v>
      </c>
      <c r="G37" s="136">
        <f>IF($C$10="Diciembre",(+$F37/90)*$C$11,IF($C$10="Junio",(+$F37/180)*$C$11,IF($C$10="Agosto",(+$F37/60)*$C$11,0)))</f>
        <v>0</v>
      </c>
    </row>
    <row r="38" spans="2:9" ht="15" hidden="1" customHeight="1" x14ac:dyDescent="0.25">
      <c r="B38" s="27" t="str">
        <f>IF($C$10="junio","Adicional, Complemento específico junio",IF(AND($C$10="diciembre",C6="Interino"),"Adicional, Complemento específico diciembre (sep a dic)",IF($C$10="agosto","Liquidación Adicional, Complemento específico diciembre",IF(AND($C$10="diciembre",C6="Carrera (anterior a 1 enero 2011)"),"Adicional, Complemento específico diciembre",IF(AND($C$10="diciembre",C6="Carrera (posterior a 1 enero 2011)"),"Adicional, Complemento específico diciembre"," ")))))</f>
        <v xml:space="preserve"> </v>
      </c>
      <c r="C38" s="23"/>
      <c r="D38" s="131">
        <f>IF(AND($C$9="s",C5=Retribuciones!M2),IF($C$10="junio",((Retribuciones!T11+Retribuciones!P59)*78%),IF($C$10="diciembre",((Retribuciones!T11+Retribuciones!P59)*78%),0)),IF($C$10="junio",((Retribuciones!T11)*78%),IF(AND($C$10="diciembre",C6="Interino"),((((Retribuciones!T11)*78%))/6)*4,IF(AND($C$10="agosto",C6="Interino"),((Retribuciones!T11)*78%)/3,IF(AND($C$10="diciembre",C6="Carrera (anterior a 1 enero 2011)"),(((Retribuciones!T11)*78%)),IF(AND($C$10="diciembre",C6="Carrera (posterior a 1 enero 2011)"),(((Retribuciones!T11)*78%)),0))))))</f>
        <v>0</v>
      </c>
      <c r="E38" s="130">
        <f>IF($C$10="Diciembre",(+D38/120)*$C$12,IF($C$10="Junio",(+D38/180)*C$12,IF($C$10="Agosto",(+D38/60)*C$12,0)))</f>
        <v>0</v>
      </c>
      <c r="F38" s="136">
        <f t="shared" si="1"/>
        <v>0</v>
      </c>
      <c r="G38" s="136">
        <f>IF($C$10="Diciembre",(+F38/120)*$C$12,IF($C$10="Junio",(+F38/180)*C$12,IF($C$10="Agosto",(+F38/60)*C$12,0)))</f>
        <v>0</v>
      </c>
    </row>
    <row r="39" spans="2:9" ht="15" hidden="1" customHeight="1" x14ac:dyDescent="0.25">
      <c r="B39" s="27" t="str">
        <f>IF($C$10="junio","Paga extra Sexenios",IF(AND($C$10="diciembre",C6="Interino"),"Paga extra Sexenios (sep a dic)",IF($C$10="agosto","Liquidación Paga extra Sexenios",IF(AND($C$10="diciembre",C6="Carrera (anterior a 1 enero 2011)"),"Paga extra Sexenios",IF(AND($C$10="diciembre",C6="Carrera (posterior a 1 enero 2011)"),"Paga extra Sexenios"," ")))))</f>
        <v xml:space="preserve"> </v>
      </c>
      <c r="C39" s="77"/>
      <c r="D39" s="131">
        <f>IF($C$10="junio",D29*0.78,IF(AND($C$10="diciembre",C6="Interino"),(((D29*0.78)/6)*4),IF(AND($C$10="agosto",C6="Interino"),(((D29*0.78)/6)*2),IF(AND($C$10="diciembre",C6="Carrera (anterior a 1 enero 2011)"),D29*0.78,IF(AND($C$10="diciembre",C6="Carrera (posterior a 1 enero 2011)"),D29*0.78,0)))))</f>
        <v>0</v>
      </c>
      <c r="E39" s="130">
        <f>IF($C$10="Diciembre",(+D39/120)*$C$12,IF($C$10="Junio",(+D39/180)*C$12,IF($C$10="Agosto",(+D39/60)*C$12,0)))</f>
        <v>0</v>
      </c>
      <c r="F39" s="136">
        <f t="shared" si="1"/>
        <v>0</v>
      </c>
      <c r="G39" s="136">
        <f>IF($C$10="Diciembre",(+F39/120)*$C$12,IF($C$10="Junio",(+F39/180)*C$12,IF($C$10="Agosto",(+F39/60)*C$12,0)))</f>
        <v>0</v>
      </c>
    </row>
    <row r="40" spans="2:9" ht="15" hidden="1" customHeight="1" x14ac:dyDescent="0.25">
      <c r="B40" s="298" t="s">
        <v>160</v>
      </c>
      <c r="C40" s="299"/>
      <c r="D40" s="132">
        <f>IF(B40=S126,T126,IF(B40=S127,T127,IF(B40=S128,T128,IF(B40=S129,T129,IF(B40=S130,T130,IF(B40=S131,T131,IF(B40=S132,T132,IF(B40=S133,T134,IF(B40=S134,T133,0)))))))))</f>
        <v>0</v>
      </c>
      <c r="E40" s="130">
        <f>+(D40/30)*C$15</f>
        <v>0</v>
      </c>
      <c r="F40" s="136">
        <f>+D40</f>
        <v>0</v>
      </c>
      <c r="G40" s="136">
        <f t="shared" si="2"/>
        <v>0</v>
      </c>
    </row>
    <row r="41" spans="2:9" ht="15" hidden="1" customHeight="1" x14ac:dyDescent="0.25">
      <c r="B41" s="298" t="s">
        <v>163</v>
      </c>
      <c r="C41" s="299"/>
      <c r="D41" s="131">
        <f>IF(B41=S69,T69,IF(B41=S70,T70,IF(B41=S71,T71,IF(B41=S72,T72,IF(B41=S73,T73,IF(B41=S74,T74,IF(B41=S75,T75,IF(B41=S76,T76,IF(B41=S76,T76,IF(B41=S77,T77,IF(B41=S78,T78,IF(B41=S79,T79,IF(B41=S80,T80,IF(B41=S81,T81,IF(B41=S82,T82,IF(B41=S83,T83,IF(B41=S84,T84,IF(B41=S85,T85,IF(B41=S86,T86,0)))))))))))))))))))</f>
        <v>0</v>
      </c>
      <c r="E41" s="130">
        <f>+(D41/30)*C$15</f>
        <v>0</v>
      </c>
      <c r="F41" s="136">
        <f t="shared" ref="F41:F44" si="3">+D41</f>
        <v>0</v>
      </c>
      <c r="G41" s="136">
        <f t="shared" si="2"/>
        <v>0</v>
      </c>
    </row>
    <row r="42" spans="2:9" ht="15" hidden="1" customHeight="1" x14ac:dyDescent="0.25">
      <c r="B42" s="298" t="s">
        <v>162</v>
      </c>
      <c r="C42" s="299"/>
      <c r="D42" s="131">
        <f>IF(B42=S88,T88,IF(B42=S89,T89,IF(B42=S90,T90,IF(B42=S91,T91,IF(B42=S92,T92,IF(B42=S93,T93,IF(B42=S94,T94,IF(B42=S95,T95,IF(B42=S96,T96,IF(B42=S97,T97,IF(B42=S98,T98,IF(B42=S99,T99,IF(B42=S100,T100,IF(B42=S101,T101,IF(B42=S102,T102,IF(B42=S103,T103,IF(B42=S104,T104,IF(B42=S105,T105,IF(B42=S106,T106,IF(B42=S107,T107,0))))))))))))))))))))</f>
        <v>0</v>
      </c>
      <c r="E42" s="130">
        <f>+(D42/30)*C$15</f>
        <v>0</v>
      </c>
      <c r="F42" s="136">
        <f t="shared" si="3"/>
        <v>0</v>
      </c>
      <c r="G42" s="136">
        <f t="shared" si="2"/>
        <v>0</v>
      </c>
    </row>
    <row r="43" spans="2:9" ht="15" hidden="1" customHeight="1" x14ac:dyDescent="0.25">
      <c r="B43" s="298" t="s">
        <v>161</v>
      </c>
      <c r="C43" s="299"/>
      <c r="D43" s="131">
        <f>IF(B43=S109,T109,IF(B43=S110,T110,IF(B43=S111,T111,IF(B43=S112,T112,IF(B43=S113,T113,IF(B43=S114,T114,IF(B43=S115,T115,IF(B43=S116,T116,IF(B43=S117,T117,IF(B43=S118,T118,IF(B43=S119,T119,IF(B43=S120,T120,IF(B43=S121,T121,IF(B43=S122,T122,IF(B43=S123,T123,IF(B43=S124,T124,0))))))))))))))))</f>
        <v>0</v>
      </c>
      <c r="E43" s="130">
        <f>+(D43/30)*C$15</f>
        <v>0</v>
      </c>
      <c r="F43" s="136">
        <f t="shared" si="3"/>
        <v>0</v>
      </c>
      <c r="G43" s="136">
        <f t="shared" si="2"/>
        <v>0</v>
      </c>
    </row>
    <row r="44" spans="2:9" ht="15" hidden="1" customHeight="1" x14ac:dyDescent="0.25">
      <c r="B44" s="298" t="s">
        <v>186</v>
      </c>
      <c r="C44" s="299"/>
      <c r="D44" s="133"/>
      <c r="E44" s="130">
        <f>+(D44/30)*C$15</f>
        <v>0</v>
      </c>
      <c r="F44" s="136">
        <f t="shared" si="3"/>
        <v>0</v>
      </c>
      <c r="G44" s="136">
        <f t="shared" si="2"/>
        <v>0</v>
      </c>
    </row>
    <row r="45" spans="2:9" ht="15" hidden="1" customHeight="1" x14ac:dyDescent="0.25">
      <c r="B45" s="3" t="s">
        <v>45</v>
      </c>
      <c r="C45" s="4"/>
      <c r="D45" s="5">
        <f>SUM(D22:D44)</f>
        <v>2743.34</v>
      </c>
      <c r="E45" s="5">
        <f t="shared" ref="E45:G45" si="4">SUM(E22:E44)</f>
        <v>91.444666666666649</v>
      </c>
      <c r="F45" s="5">
        <f t="shared" si="4"/>
        <v>0</v>
      </c>
      <c r="G45" s="5">
        <f t="shared" si="4"/>
        <v>0</v>
      </c>
    </row>
    <row r="46" spans="2:9" ht="15" hidden="1" customHeight="1" x14ac:dyDescent="0.25">
      <c r="B46" s="10"/>
      <c r="C46" s="10"/>
      <c r="D46" s="10"/>
    </row>
    <row r="47" spans="2:9" ht="15" hidden="1" customHeight="1" x14ac:dyDescent="0.25">
      <c r="B47" s="124" t="s">
        <v>51</v>
      </c>
      <c r="C47" s="322" t="s">
        <v>114</v>
      </c>
      <c r="D47" s="322"/>
      <c r="E47" s="322"/>
      <c r="F47" s="322"/>
      <c r="G47" s="322"/>
      <c r="I47" s="59" t="s">
        <v>115</v>
      </c>
    </row>
    <row r="48" spans="2:9" ht="15" hidden="1" customHeight="1" x14ac:dyDescent="0.25">
      <c r="B48" s="6" t="s">
        <v>185</v>
      </c>
      <c r="C48" s="23"/>
      <c r="D48" s="11">
        <v>-6</v>
      </c>
      <c r="E48" s="17">
        <f t="shared" ref="E48:E51" si="5">+(D48/30)*C$15</f>
        <v>-0.2</v>
      </c>
      <c r="F48" s="17">
        <f t="shared" ref="F48:F49" si="6">IF(OR(C$5=P$92,C$5=P$93,C$5=P$94,C$5=P$96,C$5=P$97,C$5=P$98),(D48/20)*C$14,(D48/25)*C$14)</f>
        <v>0</v>
      </c>
      <c r="G48" s="17">
        <f t="shared" ref="G48:G51" si="7">+(F48/30)*C$15</f>
        <v>0</v>
      </c>
      <c r="I48" s="56"/>
    </row>
    <row r="49" spans="1:25" ht="15" hidden="1" customHeight="1" x14ac:dyDescent="0.25">
      <c r="B49" s="15" t="str">
        <f>IF(C6=P68,"Derechos Pasivos","Contingencias Comunes: 4,7% y 23,6%")</f>
        <v>Contingencias Comunes: 4,7% y 23,6%</v>
      </c>
      <c r="C49" s="29" t="str">
        <f>IF(C6=P68," ","4,70%")</f>
        <v>4,70%</v>
      </c>
      <c r="D49" s="11">
        <f>IF(OR(C6="interino",C6=P69),-D62*4.7%,IF($C$10="junio",-2*Retribuciones!T27,IF($C$10="diciembre",-2*Retribuciones!T27,-Retribuciones!T27)))</f>
        <v>-145.33504499999995</v>
      </c>
      <c r="E49" s="16">
        <f t="shared" si="5"/>
        <v>-4.844501499999998</v>
      </c>
      <c r="F49" s="16">
        <f t="shared" si="6"/>
        <v>0</v>
      </c>
      <c r="G49" s="16">
        <f t="shared" si="7"/>
        <v>0</v>
      </c>
      <c r="I49" s="62">
        <f>IF(OR(C6="interino",C6=P69),ROUND(-D62*23.6%,2)," ")</f>
        <v>-729.77</v>
      </c>
    </row>
    <row r="50" spans="1:25" hidden="1" x14ac:dyDescent="0.25">
      <c r="B50" s="6" t="str">
        <f>IF(OR(C6=P68,C6=P69),"MUFACE","Cuota Desempleo: 1,55% y 5,5%")</f>
        <v>Cuota Desempleo: 1,55% y 5,5%</v>
      </c>
      <c r="C50" s="29" t="str">
        <f>IF(C6=P70,"1,55%"," ")</f>
        <v>1,55%</v>
      </c>
      <c r="D50" s="11">
        <f>IF(C6="interino",-D62*1.55%,IF($C$10="junio",-2*Retribuciones!T26,IF($C$10="diciembre",-2*Retribuciones!T26,-Retribuciones!T26)))</f>
        <v>-47.929642499999986</v>
      </c>
      <c r="E50" s="16">
        <f t="shared" si="5"/>
        <v>-1.5976547499999996</v>
      </c>
      <c r="F50" s="16">
        <f>IF(OR(C$5=P$92,C$5=P$93,C$5=P$94,C$5=P$96,C$5=P$97,C$5=P$98),(D50/20)*C$14,(D50/25)*C$14)</f>
        <v>0</v>
      </c>
      <c r="G50" s="16">
        <f t="shared" si="7"/>
        <v>0</v>
      </c>
      <c r="I50" s="62">
        <f>IF(C6="interino",ROUND(-D62*5.5%,2)," ")</f>
        <v>-170.07</v>
      </c>
    </row>
    <row r="51" spans="1:25" ht="15" hidden="1" customHeight="1" x14ac:dyDescent="0.25">
      <c r="B51" s="6" t="str">
        <f>IF(C6=P70,"Cuota Formación Profesional: 0,10% y 0,60%",IF(C6=P69,"Coeficiente reductor: 0,009 y 0,046"," "))</f>
        <v>Cuota Formación Profesional: 0,10% y 0,60%</v>
      </c>
      <c r="C51" s="61" t="str">
        <f>IF(C6=P70,"0,10%",IF(C6=P69,0.009," "))</f>
        <v>0,10%</v>
      </c>
      <c r="D51" s="11">
        <f>IF(C6="interino",ROUND(-D62*0.1%,2),IF(C6=P69,0.009*-(+D49+I49),0))</f>
        <v>-3.09</v>
      </c>
      <c r="E51" s="16">
        <f t="shared" si="5"/>
        <v>-0.10299999999999999</v>
      </c>
      <c r="F51" s="16">
        <f>IF(OR(C$5=P$92,C$5=P$93,C$5=P$94,C$5=P$96,C$5=P$97,C$5=P$98),(D51/20)*C$14,(D51/25)*C$14)</f>
        <v>0</v>
      </c>
      <c r="G51" s="16">
        <f t="shared" si="7"/>
        <v>0</v>
      </c>
      <c r="I51" s="62">
        <f>IF(C6="interino",ROUND(-D62*0.6%,2),IF(C6=P69,ROUND(0.046*-(+D49+I49),2)," "))</f>
        <v>-18.55</v>
      </c>
    </row>
    <row r="52" spans="1:25" ht="15" hidden="1" customHeight="1" x14ac:dyDescent="0.25">
      <c r="B52" s="127" t="s">
        <v>50</v>
      </c>
      <c r="C52" s="125"/>
      <c r="D52" s="126">
        <f>+C17</f>
        <v>0.14049334001135094</v>
      </c>
      <c r="E52" s="135"/>
      <c r="F52" s="135"/>
      <c r="G52" s="135"/>
      <c r="I52" s="62"/>
    </row>
    <row r="53" spans="1:25" hidden="1" x14ac:dyDescent="0.25">
      <c r="B53" s="57" t="s">
        <v>199</v>
      </c>
      <c r="D53" s="18">
        <f>-(+D45)*D52</f>
        <v>-385.42099938673954</v>
      </c>
      <c r="E53" s="16"/>
      <c r="F53" s="16"/>
      <c r="G53" s="16"/>
      <c r="I53" s="56"/>
      <c r="J53" s="120">
        <f>+I17</f>
        <v>0.28153210323600902</v>
      </c>
      <c r="K53" s="121">
        <f>IF(C6="Interino",-J53*D45,"")</f>
        <v>-772.33828009147305</v>
      </c>
      <c r="L53" s="122" t="str">
        <f>IF(C6="Interino","Retención mensual de septiembre 2019","")</f>
        <v>Retención mensual de septiembre 2019</v>
      </c>
      <c r="M53" s="123"/>
      <c r="Q53" s="105"/>
      <c r="R53" s="105"/>
      <c r="S53" s="105"/>
      <c r="T53" s="105"/>
      <c r="U53" s="105"/>
      <c r="V53" s="105"/>
      <c r="W53" s="105"/>
      <c r="X53" s="106"/>
    </row>
    <row r="54" spans="1:25" ht="15" hidden="1" customHeight="1" x14ac:dyDescent="0.25"/>
    <row r="55" spans="1:25" hidden="1" x14ac:dyDescent="0.25">
      <c r="B55" s="3" t="s">
        <v>46</v>
      </c>
      <c r="C55" s="4"/>
      <c r="D55" s="19">
        <f>SUM(D48:D53)</f>
        <v>-587.63519354672815</v>
      </c>
      <c r="E55" s="19">
        <f>SUM(E48:E53)</f>
        <v>-6.7451562499999973</v>
      </c>
      <c r="F55" s="19">
        <f t="shared" ref="F55:G55" si="8">SUM(F48:F53)</f>
        <v>0</v>
      </c>
      <c r="G55" s="19">
        <f t="shared" si="8"/>
        <v>0</v>
      </c>
      <c r="K55" s="140">
        <f>IF(C6="Interino",SUM(D48:D51)+K53,"")</f>
        <v>-974.69296759147301</v>
      </c>
    </row>
    <row r="56" spans="1:25" ht="15" hidden="1" customHeight="1" x14ac:dyDescent="0.25"/>
    <row r="57" spans="1:25" ht="15" hidden="1" customHeight="1" x14ac:dyDescent="0.25">
      <c r="B57" s="7" t="s">
        <v>167</v>
      </c>
      <c r="C57" s="8"/>
      <c r="D57" s="9">
        <f>+D45+D55</f>
        <v>2155.7048064532719</v>
      </c>
      <c r="E57" s="9">
        <f t="shared" ref="E57:G57" si="9">+E45+E55</f>
        <v>84.699510416666655</v>
      </c>
      <c r="F57" s="9">
        <f t="shared" si="9"/>
        <v>0</v>
      </c>
      <c r="G57" s="9">
        <f t="shared" si="9"/>
        <v>0</v>
      </c>
      <c r="K57" s="9">
        <f>IF(C6="Interino",+D45+K55,"")</f>
        <v>1768.6470324085271</v>
      </c>
      <c r="Q57" s="105"/>
      <c r="R57" s="105"/>
      <c r="S57" s="105"/>
      <c r="T57" s="105"/>
      <c r="U57" s="105"/>
      <c r="V57" s="105"/>
      <c r="W57" s="105"/>
      <c r="X57" s="106"/>
    </row>
    <row r="58" spans="1:25" ht="3.75" hidden="1" customHeight="1" x14ac:dyDescent="0.25">
      <c r="A58" s="24"/>
      <c r="B58" s="24"/>
      <c r="C58" s="24"/>
      <c r="D58" s="24"/>
    </row>
    <row r="59" spans="1:25" hidden="1" x14ac:dyDescent="0.25">
      <c r="A59" s="24"/>
      <c r="B59" s="236" t="s">
        <v>168</v>
      </c>
      <c r="C59" s="237"/>
      <c r="D59" s="25">
        <f>+Retribuciones!T33+((D40+D41+D42+D43+D44)*12)</f>
        <v>37106.819999999992</v>
      </c>
      <c r="Q59" s="105"/>
      <c r="R59" s="105"/>
      <c r="S59" s="105"/>
      <c r="T59" s="105"/>
      <c r="U59" s="105"/>
      <c r="V59" s="105"/>
      <c r="W59" s="105"/>
      <c r="X59" s="105"/>
      <c r="Y59" s="106"/>
    </row>
    <row r="60" spans="1:25" hidden="1" x14ac:dyDescent="0.25">
      <c r="A60" s="24"/>
      <c r="B60" s="236" t="str">
        <f>IF(C6="carrera (anterior a 1 enero 2011)","Derechos Pasivos, MUFACE y Cuota sindical",IF(C6="Carrera (posterior a 1 enero 2011)","MUFACE, Seguridad Social (contingentes comunes) y Cuota sindical.","Seguridad Social y Cuota sindical"))</f>
        <v>Seguridad Social y Cuota sindical</v>
      </c>
      <c r="C60" s="237"/>
      <c r="D60" s="25">
        <f>IF(C6="carrera (anterior a 1 enero 2011)",(-(Retribuciones!T26+Retribuciones!T27)*14)+(D48*12),IF(C6="Carrera (posterior a 1 enero 2011)",((D49+D51)*12)+(D50*14),-(D59*6.35%)-(D48*12)))</f>
        <v>-2284.2830699999995</v>
      </c>
    </row>
    <row r="61" spans="1:25" hidden="1" x14ac:dyDescent="0.25">
      <c r="A61" s="24"/>
      <c r="B61" s="24"/>
      <c r="C61" s="24"/>
      <c r="D61" s="24"/>
    </row>
    <row r="62" spans="1:25" hidden="1" x14ac:dyDescent="0.25">
      <c r="A62" s="24"/>
      <c r="B62" s="3" t="str">
        <f>IF(OR(C6="interino",C6=P69),"Base cotización Seguridad Sociar"," ")</f>
        <v>Base cotización Seguridad Sociar</v>
      </c>
      <c r="C62" s="26"/>
      <c r="D62" s="25">
        <f>IF(OR(C6="interino",C6=P69),+D59/12," ")</f>
        <v>3092.2349999999992</v>
      </c>
    </row>
    <row r="63" spans="1:25" ht="12.95" hidden="1" customHeight="1" x14ac:dyDescent="0.25">
      <c r="A63" s="24"/>
      <c r="B63" s="24"/>
      <c r="C63" s="24"/>
      <c r="D63" s="24"/>
    </row>
    <row r="64" spans="1:25" ht="18" hidden="1" customHeight="1" x14ac:dyDescent="0.25">
      <c r="B64" s="319" t="s">
        <v>152</v>
      </c>
      <c r="C64" s="320"/>
      <c r="D64" s="321"/>
    </row>
    <row r="65" spans="13:20" ht="18" hidden="1" customHeight="1" x14ac:dyDescent="0.25"/>
    <row r="67" spans="13:20" ht="12.95" hidden="1" customHeight="1" x14ac:dyDescent="0.25"/>
    <row r="68" spans="13:20" ht="12.95" hidden="1" customHeight="1" x14ac:dyDescent="0.25">
      <c r="N68" s="1">
        <v>0</v>
      </c>
      <c r="P68" s="36" t="s">
        <v>124</v>
      </c>
      <c r="S68" s="100" t="str">
        <f>+Retribuciones!O3</f>
        <v>Complemento Especial Responsabilidad:</v>
      </c>
      <c r="T68" s="38"/>
    </row>
    <row r="69" spans="13:20" ht="12.95" hidden="1" customHeight="1" x14ac:dyDescent="0.25">
      <c r="N69" s="1">
        <v>1</v>
      </c>
      <c r="P69" s="36" t="s">
        <v>125</v>
      </c>
      <c r="S69" s="96" t="str">
        <f>+Retribuciones!O4</f>
        <v>Director/ra CEIP, CEP, CEEE, EEI, CEPA. Coordinador CER. Tipo A (Más de 35 Unidades)</v>
      </c>
      <c r="T69" s="75">
        <f>+Retribuciones!P4</f>
        <v>552.34</v>
      </c>
    </row>
    <row r="70" spans="13:20" ht="12.95" hidden="1" customHeight="1" x14ac:dyDescent="0.25">
      <c r="N70" s="1">
        <v>2</v>
      </c>
      <c r="P70" s="36" t="s">
        <v>57</v>
      </c>
      <c r="S70" s="96" t="str">
        <f>+Retribuciones!O5</f>
        <v>Director/ra CEIP, CEP, CEEE, EEI, CEPA. Coordinador CER. Tipo B (27 a 35 Unidades)</v>
      </c>
      <c r="T70" s="75">
        <f>+Retribuciones!P5</f>
        <v>503.95</v>
      </c>
    </row>
    <row r="71" spans="13:20" ht="12.95" hidden="1" customHeight="1" x14ac:dyDescent="0.25">
      <c r="M71" s="1" t="s">
        <v>47</v>
      </c>
      <c r="N71" s="1">
        <v>3</v>
      </c>
      <c r="S71" s="96" t="str">
        <f>+Retribuciones!O6</f>
        <v>Director/ra CEIP, CEP, CEEE, EEI, CEPA. Coordinador CER. Tipo C (18 a 26 Unidades)</v>
      </c>
      <c r="T71" s="75">
        <f>+Retribuciones!P6</f>
        <v>380.04</v>
      </c>
    </row>
    <row r="72" spans="13:20" ht="12.95" hidden="1" customHeight="1" x14ac:dyDescent="0.25">
      <c r="M72" s="1" t="s">
        <v>43</v>
      </c>
      <c r="N72" s="1">
        <v>4</v>
      </c>
      <c r="S72" s="97" t="str">
        <f>+Retribuciones!O7</f>
        <v>Director/ra CEIP, CEP, CEEE, EEI, CEPA. Coordinador CER. Tipo D (9 a 17 Unidades)</v>
      </c>
      <c r="T72" s="75">
        <f>+Retribuciones!P7</f>
        <v>289.17</v>
      </c>
    </row>
    <row r="73" spans="13:20" ht="12.95" hidden="1" customHeight="1" x14ac:dyDescent="0.25">
      <c r="N73" s="1">
        <v>5</v>
      </c>
      <c r="P73" s="37" t="s">
        <v>60</v>
      </c>
      <c r="S73" s="97" t="str">
        <f>+Retribuciones!O8</f>
        <v>Director/ra CEIP, CEP, CEEE, EEI, CEPA. Coordinador CER. Tipo E (6 a 8 Unidades)</v>
      </c>
      <c r="T73" s="75">
        <f>+Retribuciones!P8</f>
        <v>195.96</v>
      </c>
    </row>
    <row r="74" spans="13:20" ht="12.95" hidden="1" customHeight="1" x14ac:dyDescent="0.25">
      <c r="M74" s="1" t="s">
        <v>43</v>
      </c>
      <c r="N74" s="1">
        <v>6</v>
      </c>
      <c r="P74" s="37" t="s">
        <v>170</v>
      </c>
      <c r="S74" s="97" t="str">
        <f>+Retribuciones!O9</f>
        <v>Director/ra CEIP, CEP, CEEE, EEI, CEPA. Coordinador CER. Tipo F (1 a 5 Unidades)</v>
      </c>
      <c r="T74" s="75">
        <f>+Retribuciones!P9</f>
        <v>122.79</v>
      </c>
    </row>
    <row r="75" spans="13:20" ht="12.95" hidden="1" customHeight="1" x14ac:dyDescent="0.25">
      <c r="M75" s="1" t="s">
        <v>48</v>
      </c>
      <c r="N75" s="1">
        <v>7</v>
      </c>
      <c r="P75" s="37" t="s">
        <v>58</v>
      </c>
      <c r="S75" s="96" t="str">
        <f>+Retribuciones!O10</f>
        <v>J. Estudios. CEIP, CEP, CEEE, EEI, CEPA. Tipo A (Más de 35 Unidades)</v>
      </c>
      <c r="T75" s="75">
        <f>+Retribuciones!P10</f>
        <v>226.64</v>
      </c>
    </row>
    <row r="76" spans="13:20" ht="12.95" hidden="1" customHeight="1" x14ac:dyDescent="0.25">
      <c r="M76" s="1" t="s">
        <v>49</v>
      </c>
      <c r="N76" s="1">
        <v>8</v>
      </c>
      <c r="P76" s="37" t="s">
        <v>59</v>
      </c>
      <c r="S76" s="96" t="str">
        <f>+Retribuciones!O11</f>
        <v>J. Estudios. CEIP, CEP, CEEE, EEI, CEPA. Tipo B (27 a 35 Unidades)</v>
      </c>
      <c r="T76" s="75">
        <f>+Retribuciones!P11</f>
        <v>217.21</v>
      </c>
    </row>
    <row r="77" spans="13:20" ht="12.95" hidden="1" customHeight="1" x14ac:dyDescent="0.25">
      <c r="M77" s="1" t="s">
        <v>128</v>
      </c>
      <c r="N77" s="1">
        <v>9</v>
      </c>
      <c r="P77" s="37" t="s">
        <v>171</v>
      </c>
      <c r="S77" s="97" t="str">
        <f>+Retribuciones!O12</f>
        <v>J. Estudios. CEIP, CEP, CEEE, EEI, CEPA. Tipo C (18 a 26 Unidades)</v>
      </c>
      <c r="T77" s="75">
        <f>+Retribuciones!P12</f>
        <v>203.02</v>
      </c>
    </row>
    <row r="78" spans="13:20" ht="12.95" hidden="1" customHeight="1" x14ac:dyDescent="0.25">
      <c r="N78" s="1">
        <v>10</v>
      </c>
      <c r="P78" s="37" t="s">
        <v>61</v>
      </c>
      <c r="S78" s="96" t="str">
        <f>+Retribuciones!O13</f>
        <v>J. Estudios. CEIP, CEP, CEEE, EEI, CEPA. Tipo D (9 a 17 Unidades)</v>
      </c>
      <c r="T78" s="75">
        <f>+Retribuciones!P13</f>
        <v>158.18</v>
      </c>
    </row>
    <row r="79" spans="13:20" ht="12.95" hidden="1" customHeight="1" x14ac:dyDescent="0.25">
      <c r="N79" s="1">
        <v>11</v>
      </c>
      <c r="P79" s="37" t="s">
        <v>172</v>
      </c>
      <c r="S79" s="97" t="str">
        <f>+Retribuciones!O14</f>
        <v>Secretario/a. CEIP, CEP, CEEE, EEI, CEPA. Tipo A (Más de 35 Unidades)</v>
      </c>
      <c r="T79" s="75">
        <f>+Retribuciones!P14</f>
        <v>226.64</v>
      </c>
    </row>
    <row r="80" spans="13:20" ht="12.95" hidden="1" customHeight="1" x14ac:dyDescent="0.25">
      <c r="N80" s="1">
        <v>12</v>
      </c>
      <c r="P80" s="37" t="s">
        <v>173</v>
      </c>
      <c r="S80" s="96" t="str">
        <f>+Retribuciones!O15</f>
        <v>Secretario/a. CEIP, CEP, CEEE, EEI, CEPA. Tipo B (27 a 35 Unidades)</v>
      </c>
      <c r="T80" s="75">
        <f>+Retribuciones!P15</f>
        <v>217.21</v>
      </c>
    </row>
    <row r="81" spans="14:20" ht="12.95" hidden="1" customHeight="1" x14ac:dyDescent="0.25">
      <c r="N81" s="1">
        <v>13</v>
      </c>
      <c r="P81" s="37" t="s">
        <v>174</v>
      </c>
      <c r="S81" s="96" t="str">
        <f>+Retribuciones!O16</f>
        <v>Secretario/a. CEIP, CEP, CEEE, EEI, CEPA. Tipo C (18 a 26 Unidades)</v>
      </c>
      <c r="T81" s="75">
        <f>+Retribuciones!P16</f>
        <v>203.02</v>
      </c>
    </row>
    <row r="82" spans="14:20" ht="12.95" hidden="1" customHeight="1" x14ac:dyDescent="0.25">
      <c r="N82" s="1">
        <v>14</v>
      </c>
      <c r="P82" s="37" t="s">
        <v>175</v>
      </c>
      <c r="S82" s="96" t="str">
        <f>+Retribuciones!O17</f>
        <v>Secretario/a. CEIP, CEP, CEEE, EEI, CEPA. Tipo D (9 a 17 Unidades)</v>
      </c>
      <c r="T82" s="75">
        <f>+Retribuciones!P17</f>
        <v>158.18</v>
      </c>
    </row>
    <row r="83" spans="14:20" ht="12.95" hidden="1" customHeight="1" x14ac:dyDescent="0.25">
      <c r="N83" s="1">
        <v>15</v>
      </c>
      <c r="P83" s="37" t="s">
        <v>62</v>
      </c>
      <c r="S83" s="96" t="str">
        <f>+Retribuciones!O18</f>
        <v>Secretario/a. CEIP, CEP, CEEE, EEI, CEPA. Tipo E (6 a 8 Unidades)</v>
      </c>
      <c r="T83" s="75">
        <f>+Retribuciones!P18</f>
        <v>106.25</v>
      </c>
    </row>
    <row r="84" spans="14:20" ht="12.95" hidden="1" customHeight="1" x14ac:dyDescent="0.25">
      <c r="N84" s="1">
        <v>16</v>
      </c>
      <c r="P84" s="37" t="s">
        <v>176</v>
      </c>
      <c r="S84" s="96" t="str">
        <f>+Retribuciones!O19</f>
        <v>Vicedirector/ra. CEIP, CEP, CEEE, EEI Tipo A (Más de 35 Unidades)</v>
      </c>
      <c r="T84" s="75">
        <f>+Retribuciones!P19</f>
        <v>226.64</v>
      </c>
    </row>
    <row r="85" spans="14:20" ht="12.95" hidden="1" customHeight="1" x14ac:dyDescent="0.25">
      <c r="N85" s="1">
        <v>17</v>
      </c>
      <c r="P85" s="37" t="s">
        <v>63</v>
      </c>
      <c r="S85" s="96" t="str">
        <f>+Retribuciones!O20</f>
        <v>Vicedirector/ra. CEIP, CEP, CEEE, EEI Tipo B (27 a 35 Unidades)</v>
      </c>
      <c r="T85" s="75">
        <f>+Retribuciones!P20</f>
        <v>217.21</v>
      </c>
    </row>
    <row r="86" spans="14:20" ht="12.95" hidden="1" customHeight="1" x14ac:dyDescent="0.25">
      <c r="N86" s="1">
        <v>18</v>
      </c>
      <c r="P86" s="37" t="s">
        <v>64</v>
      </c>
      <c r="S86" s="97" t="str">
        <f>+Retribuciones!O21</f>
        <v>Vicedirector/ra. CEIP, CEP, CEEE, EEI Tipo C (18 a 26 Unidades)</v>
      </c>
      <c r="T86" s="75">
        <f>+Retribuciones!P21</f>
        <v>203.02</v>
      </c>
    </row>
    <row r="87" spans="14:20" ht="12.95" hidden="1" customHeight="1" x14ac:dyDescent="0.25">
      <c r="N87" s="1">
        <v>19</v>
      </c>
      <c r="P87" s="37" t="s">
        <v>177</v>
      </c>
      <c r="S87" s="100" t="e">
        <f>+Retribuciones!#REF!</f>
        <v>#REF!</v>
      </c>
      <c r="T87" s="38"/>
    </row>
    <row r="88" spans="14:20" ht="12.95" hidden="1" customHeight="1" x14ac:dyDescent="0.25">
      <c r="N88" s="1">
        <v>20</v>
      </c>
      <c r="P88" s="37" t="s">
        <v>65</v>
      </c>
      <c r="S88" s="98" t="str">
        <f>+Retribuciones!O22</f>
        <v>Director/ra IES, CEO, EA. Centro Tipo A (1650 o más Alumnos)</v>
      </c>
      <c r="T88" s="75">
        <f>+Retribuciones!P22</f>
        <v>694.22</v>
      </c>
    </row>
    <row r="89" spans="14:20" ht="12.95" hidden="1" customHeight="1" x14ac:dyDescent="0.25">
      <c r="N89" s="1">
        <v>21</v>
      </c>
      <c r="P89" s="37" t="s">
        <v>178</v>
      </c>
      <c r="S89" s="98" t="str">
        <f>+Retribuciones!O23</f>
        <v>Director/ra IES, CEO, EA. Centro Tipo B (de 901 a 1649 Alumnos)</v>
      </c>
      <c r="T89" s="75">
        <f>+Retribuciones!P23</f>
        <v>617.53</v>
      </c>
    </row>
    <row r="90" spans="14:20" ht="12.95" hidden="1" customHeight="1" x14ac:dyDescent="0.25">
      <c r="N90" s="1">
        <v>22</v>
      </c>
      <c r="S90" s="98" t="str">
        <f>+Retribuciones!O24</f>
        <v>Director/ra IES, CEO, EA. Centro Tipo C (de 581 a 900 Alumnos)</v>
      </c>
      <c r="T90" s="75">
        <f>+Retribuciones!P24</f>
        <v>556.11</v>
      </c>
    </row>
    <row r="91" spans="14:20" ht="12.95" hidden="1" customHeight="1" x14ac:dyDescent="0.25">
      <c r="N91" s="1">
        <v>23</v>
      </c>
      <c r="S91" s="98" t="str">
        <f>+Retribuciones!O25</f>
        <v>Director/ra IES, CEO, EA. Centro Tipo D (hasta 580 Alumnos)</v>
      </c>
      <c r="T91" s="75">
        <f>+Retribuciones!P25</f>
        <v>506.52</v>
      </c>
    </row>
    <row r="92" spans="14:20" ht="12.95" hidden="1" customHeight="1" x14ac:dyDescent="0.25">
      <c r="N92" s="1">
        <v>24</v>
      </c>
      <c r="P92" s="36" t="s">
        <v>66</v>
      </c>
      <c r="S92" s="98" t="str">
        <f>+Retribuciones!O26</f>
        <v>Jefe Estudios IES, CEO, EA. Centro Tipo A (1650 o más Alumnos)</v>
      </c>
      <c r="T92" s="75">
        <f>+Retribuciones!P26</f>
        <v>341.27</v>
      </c>
    </row>
    <row r="93" spans="14:20" ht="12.95" hidden="1" customHeight="1" x14ac:dyDescent="0.25">
      <c r="N93" s="1">
        <v>25</v>
      </c>
      <c r="P93" s="36" t="s">
        <v>67</v>
      </c>
      <c r="S93" s="99" t="str">
        <f>+Retribuciones!O27</f>
        <v>Jefe Estudios IES, CEO, EA. Centro Tipo B (de 901 a 1649 Alumnos)</v>
      </c>
      <c r="T93" s="75">
        <f>+Retribuciones!P27</f>
        <v>327.08999999999997</v>
      </c>
    </row>
    <row r="94" spans="14:20" ht="12.95" hidden="1" customHeight="1" x14ac:dyDescent="0.25">
      <c r="N94" s="1">
        <v>26</v>
      </c>
      <c r="P94" s="36" t="s">
        <v>68</v>
      </c>
      <c r="S94" s="99" t="str">
        <f>+Retribuciones!O28</f>
        <v>Jefe Estudios IES, CEO, EA. Centro Tipo C (de 581 a 900 Alumnos)</v>
      </c>
      <c r="T94" s="75">
        <f>+Retribuciones!P28</f>
        <v>253.88</v>
      </c>
    </row>
    <row r="95" spans="14:20" ht="12.95" hidden="1" customHeight="1" x14ac:dyDescent="0.25">
      <c r="N95" s="1">
        <v>27</v>
      </c>
      <c r="P95" s="36" t="s">
        <v>69</v>
      </c>
      <c r="S95" s="99" t="str">
        <f>+Retribuciones!O29</f>
        <v>Jefe Estudios IES, CEO, EA. Centro Tipo D (hasta 580 Alumnos)</v>
      </c>
      <c r="T95" s="75">
        <f>+Retribuciones!P29</f>
        <v>203.13</v>
      </c>
    </row>
    <row r="96" spans="14:20" ht="12.95" hidden="1" customHeight="1" x14ac:dyDescent="0.25">
      <c r="N96" s="1">
        <v>28</v>
      </c>
      <c r="P96" s="36" t="s">
        <v>70</v>
      </c>
      <c r="S96" s="99" t="str">
        <f>+Retribuciones!O30</f>
        <v>Secretario/a IES, CEO, EA. Centro Tipo A (1650 o más Alumnos)</v>
      </c>
      <c r="T96" s="75">
        <f>+Retribuciones!P30</f>
        <v>341.27</v>
      </c>
    </row>
    <row r="97" spans="13:20" ht="12.95" hidden="1" customHeight="1" x14ac:dyDescent="0.25">
      <c r="N97" s="1">
        <v>29</v>
      </c>
      <c r="P97" s="36" t="s">
        <v>71</v>
      </c>
      <c r="S97" s="99" t="str">
        <f>+Retribuciones!O31</f>
        <v>Secretario/a IES, CEO, EA. Centro Tipo B (de 901 a 1649 Alumnos)</v>
      </c>
      <c r="T97" s="75">
        <f>+Retribuciones!P31</f>
        <v>327.08999999999997</v>
      </c>
    </row>
    <row r="98" spans="13:20" ht="12.95" hidden="1" customHeight="1" x14ac:dyDescent="0.25">
      <c r="N98" s="1">
        <v>30</v>
      </c>
      <c r="P98" s="36" t="s">
        <v>72</v>
      </c>
      <c r="S98" s="98" t="str">
        <f>+Retribuciones!O32</f>
        <v>Secretario/a IES, CEO, EA. Centro Tipo C (de 581 a 900 Alumnos)</v>
      </c>
      <c r="T98" s="75">
        <f>+Retribuciones!P32</f>
        <v>253.88</v>
      </c>
    </row>
    <row r="99" spans="13:20" ht="12.95" hidden="1" customHeight="1" x14ac:dyDescent="0.25">
      <c r="N99" s="1">
        <v>31</v>
      </c>
      <c r="P99" s="36" t="s">
        <v>73</v>
      </c>
      <c r="S99" s="98" t="str">
        <f>+Retribuciones!O33</f>
        <v>Secretario/a IES, CEO, EA. Centro Tipo D (hasta 580 Alumnos)</v>
      </c>
      <c r="T99" s="75">
        <f>+Retribuciones!P33</f>
        <v>203.13</v>
      </c>
    </row>
    <row r="100" spans="13:20" ht="12.95" hidden="1" customHeight="1" x14ac:dyDescent="0.25">
      <c r="N100" s="1">
        <v>32</v>
      </c>
      <c r="P100" s="36" t="s">
        <v>74</v>
      </c>
      <c r="S100" s="98" t="str">
        <f>+Retribuciones!O34</f>
        <v>Vicedirector/ra IES, CEO, EA. Centro Tipo A (1650 o más Alumnos)</v>
      </c>
      <c r="T100" s="75">
        <f>+Retribuciones!P34</f>
        <v>341.27</v>
      </c>
    </row>
    <row r="101" spans="13:20" ht="12.95" hidden="1" customHeight="1" x14ac:dyDescent="0.25">
      <c r="N101" s="1">
        <v>33</v>
      </c>
      <c r="S101" s="98" t="str">
        <f>+Retribuciones!O35</f>
        <v>Vicedirector/ra IES, CEO, EA. Centro Tipo B (de 901 a 1649 Alumnos)</v>
      </c>
      <c r="T101" s="75">
        <f>+Retribuciones!P35</f>
        <v>327.08999999999997</v>
      </c>
    </row>
    <row r="102" spans="13:20" ht="12.95" hidden="1" customHeight="1" x14ac:dyDescent="0.25">
      <c r="N102" s="1">
        <v>34</v>
      </c>
      <c r="P102" s="36" t="s">
        <v>193</v>
      </c>
      <c r="S102" s="98" t="str">
        <f>+Retribuciones!O36</f>
        <v>Vicedirector/ra IES, CEO, EA. Centro Tipo C (de 581 a 900 Alumnos)</v>
      </c>
      <c r="T102" s="75">
        <f>+Retribuciones!P36</f>
        <v>253.88</v>
      </c>
    </row>
    <row r="103" spans="13:20" ht="12.95" hidden="1" customHeight="1" x14ac:dyDescent="0.25">
      <c r="N103" s="1">
        <v>35</v>
      </c>
      <c r="P103" s="36" t="s">
        <v>194</v>
      </c>
      <c r="S103" s="98" t="str">
        <f>+Retribuciones!O37</f>
        <v>Vicedirector/ra IES, CEO, EA. Centro Tipo D (hasta 580 Alumnos)</v>
      </c>
      <c r="T103" s="75">
        <f>+Retribuciones!P37</f>
        <v>203.13</v>
      </c>
    </row>
    <row r="104" spans="13:20" ht="12.95" hidden="1" customHeight="1" x14ac:dyDescent="0.25">
      <c r="N104" s="1">
        <v>36</v>
      </c>
      <c r="S104" s="98" t="str">
        <f>+Retribuciones!O38</f>
        <v>Jefe Estudios Adjunto IES, CEO, EA. Centro Tipo A (1650 o más Alumnos)</v>
      </c>
      <c r="T104" s="75">
        <f>+Retribuciones!P38</f>
        <v>170.65</v>
      </c>
    </row>
    <row r="105" spans="13:20" ht="12.95" hidden="1" customHeight="1" x14ac:dyDescent="0.25">
      <c r="N105" s="1">
        <v>37</v>
      </c>
      <c r="S105" s="99" t="str">
        <f>+Retribuciones!O39</f>
        <v>Jefe Estudios Adjunto IES, CEO, EA. Centro Tipo B (de 901 a 1649 Alumnos)</v>
      </c>
      <c r="T105" s="75">
        <f>+Retribuciones!P39</f>
        <v>163.57</v>
      </c>
    </row>
    <row r="106" spans="13:20" ht="12.95" hidden="1" customHeight="1" x14ac:dyDescent="0.25">
      <c r="N106" s="1">
        <v>38</v>
      </c>
      <c r="S106" s="99" t="str">
        <f>+Retribuciones!O40</f>
        <v>Jefe Estudios Adjunto IES, CEO, EA. Centro Tipo C (de 581 a 900 Alumnos)</v>
      </c>
      <c r="T106" s="75">
        <f>+Retribuciones!P40</f>
        <v>126.98</v>
      </c>
    </row>
    <row r="107" spans="13:20" ht="12.95" hidden="1" customHeight="1" x14ac:dyDescent="0.25">
      <c r="N107" s="1">
        <v>39</v>
      </c>
      <c r="S107" s="99" t="str">
        <f>+Retribuciones!O41</f>
        <v>Jefe Estudios Adjunto IES, CEO, EA. Centro Tipo D (hasta 580 Alumnos)</v>
      </c>
      <c r="T107" s="75">
        <f>+Retribuciones!P41</f>
        <v>101.61</v>
      </c>
    </row>
    <row r="108" spans="13:20" ht="12.95" hidden="1" customHeight="1" x14ac:dyDescent="0.25">
      <c r="N108" s="1">
        <v>40</v>
      </c>
      <c r="S108" s="100" t="str">
        <f>+Retribuciones!O48</f>
        <v>Otros complementos: Jefe departamento, Encargado comedor, Maestros en Residencia, otros</v>
      </c>
      <c r="T108" s="38"/>
    </row>
    <row r="109" spans="13:20" ht="12.95" hidden="1" customHeight="1" x14ac:dyDescent="0.25">
      <c r="N109" s="1">
        <v>41</v>
      </c>
      <c r="S109" s="13" t="str">
        <f>+Retribuciones!O50</f>
        <v>Encargado/a Comedor Gestión Directa. Módulo Hasta 100 comensales.</v>
      </c>
      <c r="T109" s="72">
        <f>+Retribuciones!P50</f>
        <v>139.4</v>
      </c>
    </row>
    <row r="110" spans="13:20" ht="12.95" hidden="1" customHeight="1" x14ac:dyDescent="0.25">
      <c r="N110" s="1">
        <v>42</v>
      </c>
      <c r="S110" s="13" t="str">
        <f>+Retribuciones!O51</f>
        <v>Encargado/a Comedor Gestión Directa. Módulo De 101 a 300 comensales.</v>
      </c>
      <c r="T110" s="72">
        <f>+Retribuciones!P51</f>
        <v>147</v>
      </c>
    </row>
    <row r="111" spans="13:20" ht="12.95" hidden="1" customHeight="1" x14ac:dyDescent="0.25">
      <c r="M111" s="28"/>
      <c r="N111" s="1">
        <v>43</v>
      </c>
      <c r="S111" s="13" t="str">
        <f>+Retribuciones!O52</f>
        <v>Encargado/a Comedor Gestión Directa. Módulo Más de 300 comensales.</v>
      </c>
      <c r="T111" s="72">
        <f>+Retribuciones!P52</f>
        <v>157.80000000000001</v>
      </c>
    </row>
    <row r="112" spans="13:20" ht="12.95" hidden="1" customHeight="1" x14ac:dyDescent="0.25">
      <c r="N112" s="1">
        <v>44</v>
      </c>
      <c r="S112" s="13" t="str">
        <f>+Retribuciones!O53</f>
        <v>Encargado/a Comedor Gestión Contratada. Módulo Hasta 100 comensales.</v>
      </c>
      <c r="T112" s="72">
        <f>+Retribuciones!P53</f>
        <v>121.7</v>
      </c>
    </row>
    <row r="113" spans="14:20" ht="12.95" hidden="1" customHeight="1" x14ac:dyDescent="0.25">
      <c r="N113" s="1">
        <v>45</v>
      </c>
      <c r="S113" s="12" t="str">
        <f>+Retribuciones!O54</f>
        <v>Encargado/a Comedor Gestión Contratada. Módulo De 101 a 300 comensales.</v>
      </c>
      <c r="T113" s="72">
        <f>+Retribuciones!P54</f>
        <v>128.5</v>
      </c>
    </row>
    <row r="114" spans="14:20" ht="12.95" hidden="1" customHeight="1" x14ac:dyDescent="0.25">
      <c r="N114" s="1">
        <v>46</v>
      </c>
      <c r="S114" s="12" t="str">
        <f>+Retribuciones!O55</f>
        <v>Encargado/a Comedor Gestión Contratada. Módulo Más de 300 comensales.</v>
      </c>
      <c r="T114" s="72">
        <f>+Retribuciones!P55</f>
        <v>135.80000000000001</v>
      </c>
    </row>
    <row r="115" spans="14:20" ht="12.95" hidden="1" customHeight="1" x14ac:dyDescent="0.25">
      <c r="N115" s="1">
        <v>47</v>
      </c>
      <c r="S115" s="13" t="str">
        <f>+Retribuciones!O42</f>
        <v>Director de Centros de Profesores</v>
      </c>
      <c r="T115" s="75">
        <f>+Retribuciones!P42</f>
        <v>363.85</v>
      </c>
    </row>
    <row r="116" spans="14:20" ht="12.95" hidden="1" customHeight="1" x14ac:dyDescent="0.25">
      <c r="N116" s="1">
        <v>48</v>
      </c>
      <c r="S116" s="13" t="str">
        <f>+Retribuciones!O43</f>
        <v>Director de Residencia Escolar Permanente</v>
      </c>
      <c r="T116" s="75">
        <f>+Retribuciones!P43</f>
        <v>337.67</v>
      </c>
    </row>
    <row r="117" spans="14:20" ht="12.95" hidden="1" customHeight="1" x14ac:dyDescent="0.25">
      <c r="N117" s="1">
        <v>49</v>
      </c>
      <c r="S117" s="12" t="str">
        <f>+Retribuciones!O44</f>
        <v>Director de Residencia Escolar</v>
      </c>
      <c r="T117" s="75">
        <f>+Retribuciones!P44</f>
        <v>175.77</v>
      </c>
    </row>
    <row r="118" spans="14:20" ht="12.95" hidden="1" customHeight="1" x14ac:dyDescent="0.25">
      <c r="N118" s="1">
        <v>50</v>
      </c>
      <c r="S118" s="12" t="str">
        <f>+Retribuciones!O56</f>
        <v>Maestros de Ocio con Residencia Permanente</v>
      </c>
      <c r="T118" s="76">
        <f>+Retribuciones!P56</f>
        <v>152.49</v>
      </c>
    </row>
    <row r="119" spans="14:20" ht="12.95" hidden="1" customHeight="1" x14ac:dyDescent="0.25">
      <c r="N119" s="1">
        <v>51</v>
      </c>
      <c r="S119" s="12" t="str">
        <f>+Retribuciones!O45</f>
        <v>Coordinador EOEP</v>
      </c>
      <c r="T119" s="75">
        <f>+Retribuciones!P45</f>
        <v>105.86</v>
      </c>
    </row>
    <row r="120" spans="14:20" ht="12.95" hidden="1" customHeight="1" x14ac:dyDescent="0.25">
      <c r="N120" s="1">
        <v>52</v>
      </c>
      <c r="S120" s="12" t="str">
        <f>+Retribuciones!O46</f>
        <v>Coordinador de Servicios Centrales. Tipo A1 (A)</v>
      </c>
      <c r="T120" s="78">
        <f>+Retribuciones!P46</f>
        <v>412.01</v>
      </c>
    </row>
    <row r="121" spans="14:20" ht="12.95" hidden="1" customHeight="1" x14ac:dyDescent="0.25">
      <c r="N121" s="1">
        <v>53</v>
      </c>
      <c r="S121" s="12" t="str">
        <f>+Retribuciones!O47</f>
        <v>Coordinador de Servicios Centrales. Tipo A2 (B)</v>
      </c>
      <c r="T121" s="78">
        <f>+Retribuciones!P47</f>
        <v>234.05</v>
      </c>
    </row>
    <row r="122" spans="14:20" ht="12.95" hidden="1" customHeight="1" x14ac:dyDescent="0.25">
      <c r="N122" s="1">
        <v>54</v>
      </c>
      <c r="S122" s="12" t="str">
        <f>+Retribuciones!O57</f>
        <v>Hora Lectiva Complementaria, Refuerzo Educativo. Grupo A1</v>
      </c>
      <c r="T122" s="78">
        <f>+Retribuciones!P57</f>
        <v>20.84</v>
      </c>
    </row>
    <row r="123" spans="14:20" ht="12.95" hidden="1" customHeight="1" x14ac:dyDescent="0.25">
      <c r="N123" s="1">
        <v>55</v>
      </c>
      <c r="S123" s="12" t="str">
        <f>+Retribuciones!O58</f>
        <v>Hora Lectiva Complementaria, Refuerzo Educativo. Grupo A2</v>
      </c>
      <c r="T123" s="78">
        <f>+Retribuciones!P58</f>
        <v>17.73</v>
      </c>
    </row>
    <row r="124" spans="14:20" ht="12.95" hidden="1" customHeight="1" x14ac:dyDescent="0.25">
      <c r="N124" s="1">
        <v>56</v>
      </c>
      <c r="S124" s="13" t="str">
        <f>+Retribuciones!O59</f>
        <v>Maestros de Primero y Segundo de Enseñanza Secundaria Obligatoria</v>
      </c>
      <c r="T124" s="78">
        <f>+Retribuciones!P59</f>
        <v>81.73</v>
      </c>
    </row>
    <row r="125" spans="14:20" ht="12.95" hidden="1" customHeight="1" x14ac:dyDescent="0.25">
      <c r="N125" s="1">
        <v>57</v>
      </c>
      <c r="S125" s="100" t="str">
        <f>+Retribuciones!O60</f>
        <v>Otros complementos: Tutoría, AICLE/PILE, Coordinación</v>
      </c>
      <c r="T125" s="38"/>
    </row>
    <row r="126" spans="14:20" ht="12.95" hidden="1" customHeight="1" x14ac:dyDescent="0.25">
      <c r="N126" s="1">
        <v>58</v>
      </c>
      <c r="S126" s="13" t="str">
        <f>+Retribuciones!O49</f>
        <v>Jefe de Departamento</v>
      </c>
      <c r="T126" s="78">
        <f>+Retribuciones!P49</f>
        <v>70.89</v>
      </c>
    </row>
    <row r="127" spans="14:20" ht="12.95" hidden="1" customHeight="1" x14ac:dyDescent="0.25">
      <c r="N127" s="1">
        <v>59</v>
      </c>
      <c r="S127" s="13" t="str">
        <f>+Retribuciones!O61</f>
        <v xml:space="preserve">Coordinador/a Formación en Centros de Trabajo </v>
      </c>
      <c r="T127" s="78">
        <f>+Retribuciones!P61</f>
        <v>70.89</v>
      </c>
    </row>
    <row r="128" spans="14:20" ht="12.95" hidden="1" customHeight="1" x14ac:dyDescent="0.25">
      <c r="N128" s="1">
        <v>60</v>
      </c>
      <c r="S128" s="13" t="str">
        <f>+Retribuciones!O62</f>
        <v>Tutoría</v>
      </c>
      <c r="T128" s="78">
        <f>+Retribuciones!P62</f>
        <v>35</v>
      </c>
    </row>
    <row r="129" spans="14:20" ht="12.95" hidden="1" customHeight="1" x14ac:dyDescent="0.25">
      <c r="N129" s="1">
        <v>61</v>
      </c>
      <c r="S129" s="13" t="str">
        <f>+Retribuciones!O63</f>
        <v>Impartición docencia en lengua extranjera. Maestros de Inglés sin B2, ni C1, ni C2</v>
      </c>
      <c r="T129" s="78">
        <f>+Retribuciones!P63</f>
        <v>35</v>
      </c>
    </row>
    <row r="130" spans="14:20" ht="12.95" hidden="1" customHeight="1" x14ac:dyDescent="0.25">
      <c r="N130" s="1">
        <v>62</v>
      </c>
      <c r="S130" s="13" t="str">
        <f>+Retribuciones!O64</f>
        <v>Impartición docencia en lengua extranjera. Profesorado con B2</v>
      </c>
      <c r="T130" s="78">
        <f>+Retribuciones!P64</f>
        <v>35</v>
      </c>
    </row>
    <row r="131" spans="14:20" ht="12.95" hidden="1" customHeight="1" x14ac:dyDescent="0.25">
      <c r="N131" s="1">
        <v>63</v>
      </c>
      <c r="S131" s="13" t="str">
        <f>+Retribuciones!O65</f>
        <v>Impartición docencia en lengua extranjera. Profesorado con C1 o C2</v>
      </c>
      <c r="T131" s="78">
        <f>+Retribuciones!P65</f>
        <v>45</v>
      </c>
    </row>
    <row r="132" spans="14:20" ht="12.95" hidden="1" customHeight="1" x14ac:dyDescent="0.25">
      <c r="N132" s="1">
        <v>64</v>
      </c>
      <c r="S132" s="13" t="str">
        <f>+Retribuciones!O66</f>
        <v>Coordinación impartición docencia en lengua extranjera. Nivel B2</v>
      </c>
      <c r="T132" s="78">
        <f>+Retribuciones!P66</f>
        <v>45</v>
      </c>
    </row>
    <row r="133" spans="14:20" ht="12.95" hidden="1" customHeight="1" x14ac:dyDescent="0.25">
      <c r="N133" s="1">
        <v>65</v>
      </c>
      <c r="S133" s="13" t="str">
        <f>+Retribuciones!O67</f>
        <v>Coordinación impartición docencia en lengua extranjera. Nivel C1 o C2</v>
      </c>
      <c r="T133" s="78">
        <f>+Retribuciones!P67</f>
        <v>55</v>
      </c>
    </row>
    <row r="134" spans="14:20" ht="12.95" hidden="1" customHeight="1" x14ac:dyDescent="0.25">
      <c r="N134" s="1">
        <v>66</v>
      </c>
      <c r="S134" s="13" t="str">
        <f>+Retribuciones!O68</f>
        <v>Coordinación en convivencia</v>
      </c>
      <c r="T134" s="78">
        <f>+Retribuciones!P68</f>
        <v>30</v>
      </c>
    </row>
    <row r="135" spans="14:20" ht="12.95" hidden="1" customHeight="1" x14ac:dyDescent="0.25">
      <c r="N135" s="1">
        <v>67</v>
      </c>
      <c r="S135" s="100"/>
    </row>
    <row r="136" spans="14:20" ht="12.95" hidden="1" customHeight="1" x14ac:dyDescent="0.25">
      <c r="N136" s="1">
        <v>68</v>
      </c>
      <c r="S136" s="100"/>
    </row>
    <row r="137" spans="14:20" ht="12.95" hidden="1" customHeight="1" x14ac:dyDescent="0.25">
      <c r="N137" s="1">
        <v>69</v>
      </c>
    </row>
    <row r="138" spans="14:20" ht="12.95" hidden="1" customHeight="1" x14ac:dyDescent="0.25">
      <c r="N138" s="1">
        <v>70</v>
      </c>
    </row>
    <row r="139" spans="14:20" ht="12.95" hidden="1" customHeight="1" x14ac:dyDescent="0.25">
      <c r="N139" s="1">
        <v>71</v>
      </c>
    </row>
    <row r="140" spans="14:20" ht="12.95" hidden="1" customHeight="1" x14ac:dyDescent="0.25">
      <c r="N140" s="1">
        <v>72</v>
      </c>
    </row>
  </sheetData>
  <sheetProtection algorithmName="SHA-512" hashValue="RZxtN6olvC1PQGMCz3061jZUQw3H70BNxwWvYqXlKrGDziAYxOnOAZzlG5eEhIJAmcLIPng+Pd/6jZUKomeJgA==" saltValue="Z+wVZUoy2FE32iLgWNQiBw==" spinCount="100000" sheet="1" objects="1" scenarios="1"/>
  <mergeCells count="30">
    <mergeCell ref="B60:C60"/>
    <mergeCell ref="B64:D64"/>
    <mergeCell ref="B41:C41"/>
    <mergeCell ref="B42:C42"/>
    <mergeCell ref="B43:C43"/>
    <mergeCell ref="B44:C44"/>
    <mergeCell ref="C47:G47"/>
    <mergeCell ref="B59:C59"/>
    <mergeCell ref="B40:C40"/>
    <mergeCell ref="C10:D10"/>
    <mergeCell ref="C11:D11"/>
    <mergeCell ref="C12:D12"/>
    <mergeCell ref="C13:D13"/>
    <mergeCell ref="C14:D14"/>
    <mergeCell ref="C15:D15"/>
    <mergeCell ref="C16:D16"/>
    <mergeCell ref="C17:D17"/>
    <mergeCell ref="D19:G19"/>
    <mergeCell ref="D20:E20"/>
    <mergeCell ref="F20:G20"/>
    <mergeCell ref="B1:E1"/>
    <mergeCell ref="B2:E2"/>
    <mergeCell ref="B3:E3"/>
    <mergeCell ref="C5:E5"/>
    <mergeCell ref="F5:G5"/>
    <mergeCell ref="C6:D6"/>
    <mergeCell ref="E6:E10"/>
    <mergeCell ref="C7:D7"/>
    <mergeCell ref="C8:D8"/>
    <mergeCell ref="C9:D9"/>
  </mergeCells>
  <dataValidations disablePrompts="1" count="7">
    <dataValidation type="list" allowBlank="1" showInputMessage="1" showErrorMessage="1" sqref="B43:C43" xr:uid="{D0544767-1A18-4781-92C4-A979DECA96E9}">
      <formula1>$S$108:$S$124</formula1>
    </dataValidation>
    <dataValidation type="list" allowBlank="1" showInputMessage="1" showErrorMessage="1" sqref="B41:C41" xr:uid="{18D5AD58-40FC-43BE-9ACD-D58E94758B98}">
      <formula1>$S$68:$S$86</formula1>
    </dataValidation>
    <dataValidation type="list" allowBlank="1" showInputMessage="1" showErrorMessage="1" sqref="B42:C42" xr:uid="{755A7D24-FEE5-4D56-B38C-2D87275B75D3}">
      <formula1>$S$87:$S$107</formula1>
    </dataValidation>
    <dataValidation type="list" allowBlank="1" showInputMessage="1" showErrorMessage="1" sqref="B40:C40" xr:uid="{6A2E10E0-061F-4572-8EAE-75419EE7E267}">
      <formula1>$S$125:$S$134</formula1>
    </dataValidation>
    <dataValidation type="list" allowBlank="1" showErrorMessage="1" promptTitle="DESTINO EN ISLA NO CAPITALINA" prompt="-Si se tienen destino en una isla capitalina, seleccionar = N_x000a_-Si se tiene destino en una isla no capitalina, seleccionar = S" sqref="C13" xr:uid="{C868AB6B-77A0-4C33-B881-40AC3203A905}">
      <formula1>$M$71:$M$72</formula1>
    </dataValidation>
    <dataValidation type="list" allowBlank="1" showInputMessage="1" showErrorMessage="1" promptTitle="Destino en Isla No Capitalina" prompt=" " sqref="C65543" xr:uid="{1F7383A1-49C3-4685-8BCF-9CE8A84DF104}">
      <formula1>#REF!</formula1>
    </dataValidation>
    <dataValidation type="list" allowBlank="1" showInputMessage="1" showErrorMessage="1" promptTitle="Nómina con Paga Extra" prompt=" " sqref="C65545" xr:uid="{60E58397-7452-4BDC-84DC-E5525BC11D6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AI160"/>
  <sheetViews>
    <sheetView showWhiteSpace="0" topLeftCell="A1048576" workbookViewId="0">
      <selection sqref="A1:XFD1048576"/>
    </sheetView>
  </sheetViews>
  <sheetFormatPr baseColWidth="10" defaultRowHeight="12.95" customHeight="1" zeroHeight="1" x14ac:dyDescent="0.25"/>
  <cols>
    <col min="1" max="1" width="1.85546875" style="1" customWidth="1"/>
    <col min="2" max="2" width="67.5703125" style="1" customWidth="1"/>
    <col min="3" max="3" width="19.42578125" style="1" customWidth="1"/>
    <col min="4" max="4" width="16.5703125" style="1" customWidth="1"/>
    <col min="5" max="5" width="16.85546875" style="1" customWidth="1"/>
    <col min="6" max="6" width="13.5703125" style="1" bestFit="1" customWidth="1"/>
    <col min="7" max="7" width="16.7109375" style="1" customWidth="1"/>
    <col min="8" max="8" width="3.140625" style="1" customWidth="1"/>
    <col min="9" max="9" width="11.5703125" style="1" customWidth="1"/>
    <col min="10" max="10" width="13.28515625" style="1" customWidth="1"/>
    <col min="11" max="11" width="12.42578125" style="1" bestFit="1" customWidth="1"/>
    <col min="12" max="12" width="38.5703125" style="1" bestFit="1" customWidth="1"/>
    <col min="13" max="13" width="10" style="1" bestFit="1" customWidth="1"/>
    <col min="14" max="14" width="3.28515625" style="1" bestFit="1" customWidth="1"/>
    <col min="15" max="15" width="6" style="1" hidden="1" customWidth="1"/>
    <col min="16" max="16" width="49.28515625" style="36" bestFit="1" customWidth="1"/>
    <col min="17" max="18" width="15.7109375" style="1" hidden="1" customWidth="1"/>
    <col min="19" max="19" width="76.85546875" style="1" bestFit="1" customWidth="1"/>
    <col min="20" max="20" width="8.140625" style="1" bestFit="1" customWidth="1"/>
    <col min="21" max="23" width="15.7109375" style="1" customWidth="1"/>
    <col min="24" max="24" width="8.28515625" style="1" customWidth="1"/>
    <col min="25" max="25" width="7.42578125" style="1" customWidth="1"/>
    <col min="26" max="39" width="15.7109375" style="1" customWidth="1"/>
    <col min="40" max="144" width="25.85546875" style="1" customWidth="1"/>
    <col min="145" max="16384" width="11.42578125" style="1"/>
  </cols>
  <sheetData>
    <row r="1" spans="2:35" s="35" customFormat="1" ht="18" hidden="1" x14ac:dyDescent="0.25">
      <c r="B1" s="285" t="s">
        <v>201</v>
      </c>
      <c r="C1" s="286"/>
      <c r="D1" s="286"/>
      <c r="E1" s="287"/>
      <c r="H1" s="1"/>
      <c r="P1" s="36"/>
    </row>
    <row r="2" spans="2:35" s="35" customFormat="1" ht="18" hidden="1" x14ac:dyDescent="0.25">
      <c r="B2" s="288" t="s">
        <v>203</v>
      </c>
      <c r="C2" s="289"/>
      <c r="D2" s="289"/>
      <c r="E2" s="290"/>
      <c r="H2" s="1"/>
      <c r="P2" s="36"/>
    </row>
    <row r="3" spans="2:35" s="35" customFormat="1" ht="18" hidden="1" x14ac:dyDescent="0.25">
      <c r="B3" s="291" t="s">
        <v>152</v>
      </c>
      <c r="C3" s="292"/>
      <c r="D3" s="292"/>
      <c r="E3" s="293"/>
      <c r="H3" s="1"/>
      <c r="P3" s="36"/>
    </row>
    <row r="4" spans="2:35" ht="3.75" hidden="1" customHeight="1" x14ac:dyDescent="0.25">
      <c r="G4" s="30"/>
      <c r="I4" s="30"/>
      <c r="J4" s="30"/>
      <c r="K4" s="30"/>
    </row>
    <row r="5" spans="2:35" ht="16.5" hidden="1" thickBot="1" x14ac:dyDescent="0.3">
      <c r="B5" s="34" t="s">
        <v>54</v>
      </c>
      <c r="C5" s="294" t="str">
        <f>+Nómina!D5</f>
        <v>597-Maestros</v>
      </c>
      <c r="D5" s="294"/>
      <c r="E5" s="295"/>
      <c r="F5" s="296" t="s">
        <v>169</v>
      </c>
      <c r="G5" s="297"/>
      <c r="I5" s="30"/>
      <c r="J5" s="30"/>
      <c r="K5" s="30"/>
    </row>
    <row r="6" spans="2:35" ht="15.75" hidden="1" customHeight="1" x14ac:dyDescent="0.25">
      <c r="B6" s="34" t="s">
        <v>55</v>
      </c>
      <c r="C6" s="277" t="str">
        <f>+Nómina!D6</f>
        <v>Interino</v>
      </c>
      <c r="D6" s="278"/>
      <c r="E6" s="279" t="s">
        <v>208</v>
      </c>
      <c r="F6" s="30"/>
      <c r="G6" s="30"/>
      <c r="I6" s="30"/>
      <c r="J6" s="30"/>
      <c r="K6" s="30"/>
    </row>
    <row r="7" spans="2:35" ht="15.75" hidden="1" x14ac:dyDescent="0.25">
      <c r="B7" s="34" t="s">
        <v>191</v>
      </c>
      <c r="C7" s="281">
        <f>+Nómina!D10</f>
        <v>12</v>
      </c>
      <c r="D7" s="282"/>
      <c r="E7" s="280"/>
      <c r="F7" s="30"/>
      <c r="G7" s="30"/>
      <c r="I7" s="30"/>
      <c r="J7" s="30"/>
      <c r="K7" s="30"/>
    </row>
    <row r="8" spans="2:35" ht="15" hidden="1" customHeight="1" x14ac:dyDescent="0.25">
      <c r="B8" s="34" t="s">
        <v>192</v>
      </c>
      <c r="C8" s="281">
        <f>+Nómina!D11</f>
        <v>12</v>
      </c>
      <c r="D8" s="282"/>
      <c r="E8" s="280"/>
      <c r="F8" s="30"/>
      <c r="G8" s="30"/>
      <c r="I8" s="30"/>
      <c r="J8" s="30"/>
      <c r="K8" s="30"/>
    </row>
    <row r="9" spans="2:35" ht="15" hidden="1" customHeight="1" x14ac:dyDescent="0.25">
      <c r="B9" s="34" t="s">
        <v>187</v>
      </c>
      <c r="C9" s="283" t="str">
        <f>IF(+Nómina!D7="Sí","S","N")</f>
        <v>N</v>
      </c>
      <c r="D9" s="284"/>
      <c r="E9" s="280"/>
      <c r="F9" s="30"/>
      <c r="G9" s="30"/>
      <c r="I9" s="30"/>
      <c r="J9" s="30"/>
      <c r="K9" s="30"/>
    </row>
    <row r="10" spans="2:35" ht="15" hidden="1" customHeight="1" thickBot="1" x14ac:dyDescent="0.3">
      <c r="B10" s="142" t="s">
        <v>56</v>
      </c>
      <c r="C10" s="300" t="str">
        <f>IF(+Nómina!D16="Agosto (Interino)","Agosto",+Nómina!D16)</f>
        <v>Agosto</v>
      </c>
      <c r="D10" s="301"/>
      <c r="E10" s="280"/>
      <c r="F10" s="30"/>
      <c r="G10" s="30"/>
      <c r="I10" s="30"/>
      <c r="J10" s="30"/>
      <c r="K10" s="30"/>
    </row>
    <row r="11" spans="2:35" ht="15" hidden="1" customHeight="1" x14ac:dyDescent="0.25">
      <c r="B11" s="144" t="str">
        <f>IF(AND(C10="Diciembre",C6="Interino"),"Días trabajados entre sep-oct-nov",IF(AND(C10="Junio",C6="Interino"),"Días trabajados entre dic-ene-feb-mar-abr-may",IF(AND(C10="Agosto",C6="Interino"),"Días trabajados entre jun-jul-ago","")))</f>
        <v>Días trabajados entre jun-jul-ago</v>
      </c>
      <c r="C11" s="302">
        <f>+Nómina!D17</f>
        <v>90</v>
      </c>
      <c r="D11" s="303"/>
      <c r="E11" s="145" t="str">
        <f>IF(AND(C10="Diciembre",C6="Interino"),"Para cálculo de paga extra de Sueldo Base, Trienios y Complemento destino",IF(AND(C10="Junio",C6="Interino"),"Para cálculo de paga extra de Sueldo Base, Trienios y Complemento destino",IF(AND(C10="Agosto",C6="Interino"),"Para cálculo de paga extra de Sueldo Base, Trienios y Complemento destino","")))</f>
        <v>Para cálculo de paga extra de Sueldo Base, Trienios y Complemento destino</v>
      </c>
      <c r="F11" s="146"/>
      <c r="G11" s="146"/>
      <c r="H11" s="146"/>
      <c r="I11" s="146"/>
      <c r="J11" s="147"/>
      <c r="K11" s="30"/>
    </row>
    <row r="12" spans="2:35" ht="15" hidden="1" customHeight="1" thickBot="1" x14ac:dyDescent="0.3">
      <c r="B12" s="148" t="str">
        <f>IF(AND(C10="Diciembre",C6="Interino"),"Días trabajados entre sep-oct-nov-dic",IF(AND(C10="Junio",C6="Interino"),"Días trabajados entre ene-feb-mar-abr-may-jun",IF(AND(C10="Agosto",C6="Interino"),"Días trabajados entre jul-ago","")))</f>
        <v>Días trabajados entre jul-ago</v>
      </c>
      <c r="C12" s="304">
        <f>+Nómina!D18</f>
        <v>60</v>
      </c>
      <c r="D12" s="305"/>
      <c r="E12" s="149" t="str">
        <f>IF(AND(C10="Diciembre",C6="Interino"),"Para cálculo de paga extra de Adicional Complemento destino y Sexenios",IF(AND(C10="Junio",C6="Interino"),"Para cálculo de paga extra de Adicional Complemento destino y Sexenios",IF(AND(C10="Agosto",C6="Interino"),"Para cálculo de paga extra de Adicional Complemento destino y Sexenios","")))</f>
        <v>Para cálculo de paga extra de Adicional Complemento destino y Sexenios</v>
      </c>
      <c r="F12" s="150"/>
      <c r="G12" s="150"/>
      <c r="H12" s="150"/>
      <c r="I12" s="150"/>
      <c r="J12" s="151"/>
      <c r="K12" s="30"/>
    </row>
    <row r="13" spans="2:35" ht="15" hidden="1" customHeight="1" x14ac:dyDescent="0.25">
      <c r="B13" s="143" t="s">
        <v>164</v>
      </c>
      <c r="C13" s="306" t="str">
        <f>IF(+Nómina!D9="No capitalina","S","N")</f>
        <v>N</v>
      </c>
      <c r="D13" s="306"/>
      <c r="E13" s="141"/>
      <c r="F13" s="30"/>
      <c r="G13" s="30"/>
      <c r="I13" s="30"/>
      <c r="J13" s="30"/>
      <c r="K13" s="30"/>
    </row>
    <row r="14" spans="2:35" ht="15" hidden="1" customHeight="1" x14ac:dyDescent="0.25">
      <c r="B14" s="134" t="s">
        <v>195</v>
      </c>
      <c r="C14" s="307">
        <f>+Nómina!D15</f>
        <v>0</v>
      </c>
      <c r="D14" s="308"/>
      <c r="E14" s="137" t="s">
        <v>207</v>
      </c>
      <c r="F14" s="138"/>
      <c r="G14" s="112" t="s">
        <v>200</v>
      </c>
      <c r="H14" s="128"/>
      <c r="I14" s="113"/>
      <c r="J14" s="114"/>
      <c r="K14" s="113"/>
      <c r="L14" s="129"/>
      <c r="M14" s="128"/>
      <c r="N14" s="128"/>
      <c r="O14" s="128"/>
      <c r="P14" s="139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9"/>
    </row>
    <row r="15" spans="2:35" ht="15" hidden="1" customHeight="1" x14ac:dyDescent="0.2">
      <c r="B15" s="134" t="s">
        <v>196</v>
      </c>
      <c r="C15" s="309">
        <f>+Nómina!D13</f>
        <v>0</v>
      </c>
      <c r="D15" s="310"/>
      <c r="E15" s="137" t="s">
        <v>209</v>
      </c>
      <c r="F15" s="138"/>
      <c r="G15" s="112" t="s">
        <v>197</v>
      </c>
      <c r="H15" s="129"/>
      <c r="I15" s="113"/>
      <c r="J15" s="113"/>
      <c r="K15" s="114"/>
      <c r="P15" s="1"/>
    </row>
    <row r="16" spans="2:35" ht="4.5" hidden="1" customHeight="1" x14ac:dyDescent="0.25">
      <c r="B16" s="34"/>
      <c r="C16" s="311"/>
      <c r="D16" s="312"/>
      <c r="F16" s="30"/>
      <c r="G16" s="30"/>
      <c r="I16" s="30"/>
      <c r="J16" s="30"/>
      <c r="K16" s="30"/>
      <c r="Q16" s="105"/>
      <c r="R16" s="105"/>
      <c r="S16" s="105"/>
      <c r="T16" s="105"/>
      <c r="U16" s="105"/>
      <c r="V16" s="105"/>
      <c r="W16" s="105"/>
      <c r="X16" s="106"/>
    </row>
    <row r="17" spans="1:24" ht="15" hidden="1" customHeight="1" x14ac:dyDescent="0.25">
      <c r="B17" s="58" t="str">
        <f>IF(C6=P70,"Funcionario Interino. Estimación % de retención anual de IRPF.","Funcionarios Carrera. Estimación % de retención anual de IRPF.")</f>
        <v>Funcionario Interino. Estimación % de retención anual de IRPF.</v>
      </c>
      <c r="C17" s="313">
        <f>IF(C6="Interino",+'IRPF meses nombrado'!B35,+'IRPF año completo'!B35)</f>
        <v>0.14049334001135094</v>
      </c>
      <c r="D17" s="313"/>
      <c r="E17" s="117" t="str">
        <f>IF(C6=P70,"Jornada Completa. De Enero a Agosto 2020.","Jornada Completa. Año natural")</f>
        <v>Jornada Completa. De Enero a Agosto 2020.</v>
      </c>
      <c r="F17" s="110"/>
      <c r="G17" s="111"/>
      <c r="I17" s="116">
        <f>IF(C6=P70,+'IRPF año completo'!B35+((+'IRPF año completo'!B35-C17)*2),"")</f>
        <v>0.28153210323600902</v>
      </c>
      <c r="J17" s="118" t="str">
        <f>IF(C6=P70,"Estimación de la retención de septiembre a diciembre 2019","")</f>
        <v>Estimación de la retención de septiembre a diciembre 2019</v>
      </c>
      <c r="K17" s="115"/>
      <c r="L17" s="119"/>
    </row>
    <row r="18" spans="1:24" ht="8.25" hidden="1" customHeight="1" x14ac:dyDescent="0.25">
      <c r="B18" s="2"/>
      <c r="C18" s="2"/>
      <c r="D18" s="2"/>
      <c r="F18" s="30"/>
      <c r="G18" s="30"/>
      <c r="I18" s="30"/>
      <c r="J18" s="30"/>
      <c r="K18" s="30"/>
    </row>
    <row r="19" spans="1:24" ht="16.5" hidden="1" customHeight="1" x14ac:dyDescent="0.25">
      <c r="A19" s="30"/>
      <c r="B19" s="30"/>
      <c r="C19" s="30"/>
      <c r="D19" s="314" t="s">
        <v>198</v>
      </c>
      <c r="E19" s="314"/>
      <c r="F19" s="314"/>
      <c r="G19" s="314"/>
      <c r="H19" s="30"/>
      <c r="I19" s="30"/>
      <c r="J19" s="30"/>
      <c r="K19" s="30"/>
    </row>
    <row r="20" spans="1:24" ht="16.5" hidden="1" customHeight="1" x14ac:dyDescent="0.25">
      <c r="A20" s="30"/>
      <c r="B20" s="30"/>
      <c r="C20" s="30"/>
      <c r="D20" s="315" t="s">
        <v>204</v>
      </c>
      <c r="E20" s="316"/>
      <c r="F20" s="317" t="s">
        <v>206</v>
      </c>
      <c r="G20" s="318"/>
      <c r="H20" s="30"/>
      <c r="I20" s="30"/>
      <c r="J20" s="30"/>
      <c r="K20" s="30"/>
    </row>
    <row r="21" spans="1:24" ht="25.5" hidden="1" x14ac:dyDescent="0.25">
      <c r="C21" s="14" t="s">
        <v>188</v>
      </c>
      <c r="D21" s="152" t="s">
        <v>210</v>
      </c>
      <c r="E21" s="153" t="s">
        <v>205</v>
      </c>
      <c r="F21" s="152" t="s">
        <v>210</v>
      </c>
      <c r="G21" s="153" t="s">
        <v>205</v>
      </c>
      <c r="Q21" s="108"/>
      <c r="R21" s="108"/>
      <c r="S21" s="108"/>
      <c r="T21" s="108"/>
      <c r="U21" s="108"/>
      <c r="V21" s="108"/>
      <c r="W21" s="108"/>
      <c r="X21" s="109"/>
    </row>
    <row r="22" spans="1:24" ht="15" hidden="1" customHeight="1" x14ac:dyDescent="0.25">
      <c r="B22" s="22" t="s">
        <v>2</v>
      </c>
      <c r="C22" s="20" t="str">
        <f>+Retribuciones!T3</f>
        <v>A2</v>
      </c>
      <c r="D22" s="157">
        <f>+Retribuciones!T5</f>
        <v>1071.06</v>
      </c>
      <c r="E22" s="130">
        <f t="shared" ref="E22:E34" si="0">+(D22/30)*C$15</f>
        <v>0</v>
      </c>
      <c r="F22" s="157">
        <f t="shared" ref="F22:F39" si="1">IF(OR(C$5=P$92,C$5=P$93,C$5=P$94,C$5=P$95,C$5=P$96,C$5=P$97,C$5=P$98,C$5=P$99,C$5=P$101),(D22/18)*C$14,(D22/25)*C$14)</f>
        <v>0</v>
      </c>
      <c r="G22" s="136">
        <f>+(F22/30)*C$15</f>
        <v>0</v>
      </c>
      <c r="I22" s="30"/>
      <c r="J22" s="30"/>
      <c r="K22" s="30"/>
    </row>
    <row r="23" spans="1:24" ht="15" hidden="1" customHeight="1" x14ac:dyDescent="0.25">
      <c r="B23" s="60" t="str">
        <f>CONCATENATE("Trienios (Gr.",C23,"-",INT(+C7/3),")")</f>
        <v>Trienios (Gr.A2-4)</v>
      </c>
      <c r="C23" s="20" t="str">
        <f>+C22</f>
        <v>A2</v>
      </c>
      <c r="D23" s="131">
        <f>Retribuciones!T7*INT($C$7/3)</f>
        <v>155.52000000000001</v>
      </c>
      <c r="E23" s="130">
        <f t="shared" si="0"/>
        <v>0</v>
      </c>
      <c r="F23" s="136">
        <f t="shared" si="1"/>
        <v>0</v>
      </c>
      <c r="G23" s="136">
        <f t="shared" ref="G23:G43" si="2">+(F23/30)*C$15</f>
        <v>0</v>
      </c>
      <c r="I23" s="30"/>
      <c r="J23" s="30"/>
      <c r="K23" s="30"/>
    </row>
    <row r="24" spans="1:24" ht="15" hidden="1" customHeight="1" x14ac:dyDescent="0.25">
      <c r="B24" s="22" t="str">
        <f>IF(C13="s","Residencia en isla No Capitalina","Residencia en isla Capitalina")</f>
        <v>Residencia en isla Capitalina</v>
      </c>
      <c r="C24" s="31"/>
      <c r="D24" s="131">
        <f>IF($C$13="s",+Retribuciones!T24,Retribuciones!T23)</f>
        <v>130.98999999999998</v>
      </c>
      <c r="E24" s="130">
        <f t="shared" si="0"/>
        <v>0</v>
      </c>
      <c r="F24" s="136">
        <f t="shared" si="1"/>
        <v>0</v>
      </c>
      <c r="G24" s="136">
        <f t="shared" si="2"/>
        <v>0</v>
      </c>
      <c r="I24" s="30"/>
      <c r="J24" s="30"/>
      <c r="K24" s="30"/>
    </row>
    <row r="25" spans="1:24" ht="15.75" hidden="1" x14ac:dyDescent="0.25">
      <c r="B25" s="22" t="str">
        <f>IF(C13="s","Trienio en isla No Capitalina"," ")</f>
        <v xml:space="preserve"> </v>
      </c>
      <c r="C25" s="23"/>
      <c r="D25" s="131">
        <f>IF($C$13="s",Retribuciones!T25*INT($C$7/3),0)</f>
        <v>0</v>
      </c>
      <c r="E25" s="130">
        <f t="shared" si="0"/>
        <v>0</v>
      </c>
      <c r="F25" s="136">
        <f t="shared" si="1"/>
        <v>0</v>
      </c>
      <c r="G25" s="136">
        <f t="shared" si="2"/>
        <v>0</v>
      </c>
    </row>
    <row r="26" spans="1:24" ht="15.75" hidden="1" x14ac:dyDescent="0.25">
      <c r="B26" s="27" t="s">
        <v>165</v>
      </c>
      <c r="C26" s="32"/>
      <c r="D26" s="131">
        <f>Retribuciones!T11</f>
        <v>730.78</v>
      </c>
      <c r="E26" s="130">
        <f t="shared" si="0"/>
        <v>0</v>
      </c>
      <c r="F26" s="136">
        <f t="shared" si="1"/>
        <v>0</v>
      </c>
      <c r="G26" s="136">
        <f t="shared" si="2"/>
        <v>0</v>
      </c>
    </row>
    <row r="27" spans="1:24" ht="15.75" hidden="1" x14ac:dyDescent="0.25">
      <c r="B27" s="22" t="s">
        <v>166</v>
      </c>
      <c r="C27" s="21">
        <f>+Retribuciones!T4</f>
        <v>21</v>
      </c>
      <c r="D27" s="131">
        <f>Retribuciones!T9</f>
        <v>535.99</v>
      </c>
      <c r="E27" s="130">
        <f t="shared" si="0"/>
        <v>0</v>
      </c>
      <c r="F27" s="136">
        <f t="shared" si="1"/>
        <v>0</v>
      </c>
      <c r="G27" s="136">
        <f t="shared" si="2"/>
        <v>0</v>
      </c>
    </row>
    <row r="28" spans="1:24" ht="15.75" hidden="1" x14ac:dyDescent="0.25">
      <c r="B28" s="27" t="str">
        <f>IF(AND($C$9="s",C5=P100),"Complemento nivelador maestros 1º y 2º ESO"," ")</f>
        <v xml:space="preserve"> </v>
      </c>
      <c r="C28" s="23"/>
      <c r="D28" s="131">
        <f>IF(AND($C$9="s",C5=Retribuciones!L2),Retribuciones!P59,0)</f>
        <v>0</v>
      </c>
      <c r="E28" s="130">
        <f t="shared" si="0"/>
        <v>0</v>
      </c>
      <c r="F28" s="136">
        <f t="shared" si="1"/>
        <v>0</v>
      </c>
      <c r="G28" s="136">
        <f t="shared" si="2"/>
        <v>0</v>
      </c>
    </row>
    <row r="29" spans="1:24" ht="15.75" hidden="1" x14ac:dyDescent="0.25">
      <c r="B29" s="27" t="str">
        <f>IF(AND(C8&gt;5,C8&lt;12),"1º Sexenio",IF(AND(C8&gt;11,C8&lt;18),"2 Sexenios consolidados",IF(AND(C8&gt;17,C8&lt;24),"3 Sexenios consolidados",IF(AND(C8&gt;23,C8&lt;30),"4 Sexenios consolidados",IF(C8&gt;29,"5 Sexenios consolidados","")))))</f>
        <v>2 Sexenios consolidados</v>
      </c>
      <c r="C29" s="23"/>
      <c r="D29" s="131">
        <f>IF(AND(C8&gt;5,C8&lt;12),Retribuciones!T13,IF(AND(C8&gt;11,C8&lt;18),Retribuciones!E15,IF(AND(C8&gt;17,C8&lt;24),Retribuciones!E17,IF(AND(C8&gt;23,C8&lt;30),Retribuciones!E19,IF(C8&gt;29,Retribuciones!E21,0)))))</f>
        <v>119</v>
      </c>
      <c r="E29" s="130">
        <f t="shared" si="0"/>
        <v>0</v>
      </c>
      <c r="F29" s="136">
        <f t="shared" si="1"/>
        <v>0</v>
      </c>
      <c r="G29" s="136">
        <f t="shared" si="2"/>
        <v>0</v>
      </c>
    </row>
    <row r="30" spans="1:24" ht="15.75" hidden="1" x14ac:dyDescent="0.25">
      <c r="B30" s="27"/>
      <c r="C30" s="23"/>
      <c r="D30" s="131"/>
      <c r="E30" s="130">
        <f t="shared" si="0"/>
        <v>0</v>
      </c>
      <c r="F30" s="136">
        <f t="shared" si="1"/>
        <v>0</v>
      </c>
      <c r="G30" s="136">
        <f t="shared" si="2"/>
        <v>0</v>
      </c>
    </row>
    <row r="31" spans="1:24" ht="15.75" hidden="1" x14ac:dyDescent="0.25">
      <c r="B31" s="27"/>
      <c r="C31" s="23"/>
      <c r="D31" s="131"/>
      <c r="E31" s="130">
        <f t="shared" si="0"/>
        <v>0</v>
      </c>
      <c r="F31" s="136">
        <f t="shared" si="1"/>
        <v>0</v>
      </c>
      <c r="G31" s="136">
        <f t="shared" si="2"/>
        <v>0</v>
      </c>
    </row>
    <row r="32" spans="1:24" ht="15.75" hidden="1" x14ac:dyDescent="0.25">
      <c r="B32" s="27"/>
      <c r="C32" s="23"/>
      <c r="D32" s="131"/>
      <c r="E32" s="130">
        <f t="shared" si="0"/>
        <v>0</v>
      </c>
      <c r="F32" s="136">
        <f t="shared" si="1"/>
        <v>0</v>
      </c>
      <c r="G32" s="136">
        <f t="shared" si="2"/>
        <v>0</v>
      </c>
    </row>
    <row r="33" spans="2:9" ht="15.75" hidden="1" x14ac:dyDescent="0.25">
      <c r="B33" s="27"/>
      <c r="C33" s="23"/>
      <c r="D33" s="131"/>
      <c r="E33" s="130">
        <f t="shared" si="0"/>
        <v>0</v>
      </c>
      <c r="F33" s="136">
        <f t="shared" si="1"/>
        <v>0</v>
      </c>
      <c r="G33" s="136">
        <f t="shared" si="2"/>
        <v>0</v>
      </c>
    </row>
    <row r="34" spans="2:9" ht="15.75" hidden="1" x14ac:dyDescent="0.25">
      <c r="B34" s="27"/>
      <c r="C34" s="23"/>
      <c r="D34" s="131"/>
      <c r="E34" s="130">
        <f t="shared" si="0"/>
        <v>0</v>
      </c>
      <c r="F34" s="136">
        <f t="shared" si="1"/>
        <v>0</v>
      </c>
      <c r="G34" s="136">
        <f t="shared" si="2"/>
        <v>0</v>
      </c>
    </row>
    <row r="35" spans="2:9" ht="15.75" hidden="1" x14ac:dyDescent="0.25">
      <c r="B35" s="27" t="str">
        <f>IF($C$10="junio","Paga extra junio, Sueldo Base",IF(AND($C$10="diciembre", C6="Interino"),"Paga extra diciembre (sep a dic), Sueldo Base",IF($C$10="agosto","Liquidación Paga extra diciembre, Sueldo Base",IF(AND($C$10="diciembre", C6="Carrera (anterior a 1 enero 2011)"),"Paga extra diciembre, Sueldo Base",IF(AND($C$10="diciembre", C6="Carrera (posterior a 1 enero 2011)"),"Paga extra diciembre, Sueldo Base"," ")))))</f>
        <v>Liquidación Paga extra diciembre, Sueldo Base</v>
      </c>
      <c r="C35" s="23"/>
      <c r="D35" s="131">
        <f>IF($C$10="junio",Retribuciones!T6,IF(AND($C$10="diciembre",C6="Interino"),Retribuciones!T6/2,IF(AND($C$10="agosto",C6="Interino"),Retribuciones!T6/2,IF(AND($C$10="diciembre",C6="Carrera (anterior a 1 enero 2011)"),Retribuciones!T6,IF(AND($C$10="diciembre",C6="Carrera (posterior a 1 enero 2011)"),Retribuciones!T6,0)))))</f>
        <v>390.57499999999999</v>
      </c>
      <c r="E35" s="130">
        <f>IF($C10="Diciembre",(+$D35/90)*$C11,IF($C10="Junio",(+$D35/180)*$C11,IF($C10="Agosto",(+$D35/90)*$C11,0)))</f>
        <v>390.57499999999999</v>
      </c>
      <c r="F35" s="136">
        <f t="shared" si="1"/>
        <v>0</v>
      </c>
      <c r="G35" s="136">
        <f>IF($C$10="Diciembre",(+$F35/90)*$C$11,IF($C$10="Junio",(+$F35/180)*$C$11,IF($C$10="Agosto",(+$F35/60)*$C$11,0)))</f>
        <v>0</v>
      </c>
    </row>
    <row r="36" spans="2:9" ht="15" hidden="1" customHeight="1" x14ac:dyDescent="0.25">
      <c r="B36" s="27" t="str">
        <f>IF($C$10="junio","Paga extra junio, Trienios",IF(AND($C$10="diciembre",C6="Interino"),"Paga extra diciembre (Sep a dic), Trienios",IF($C$10="agosto","Liquidación Paga extra diciembre, Trienios",IF(AND($C$10="diciembre",C6="Carrera (anterior a 1 enero 2011)"),"Paga extra diciembre, Trienios",IF(AND($C$10="diciembre",C6="Carrera (posterior a 1 enero 2011)"),"Paga extra diciembre, Trienios"," ")))))</f>
        <v>Liquidación Paga extra diciembre, Trienios</v>
      </c>
      <c r="C36" s="23"/>
      <c r="D36" s="131">
        <f>IF($C$10="junio",Retribuciones!T8*INT($C$7/3),IF(AND($C$10="diciembre",C6="Interino"),(Retribuciones!T8*INT($C$7/3))/2,IF(AND($C$10="agosto",C6="Interino"),(Retribuciones!T8*INT($C$7/3))/2,IF(AND($C$10="diciembre",C6="Carrera (anterior a 1 enero 2011)"),(Retribuciones!T8*INT($C$7/3)),IF(AND($C$10="diciembre",C6="Carrera (posterior a 1 enero 2011)"),(Retribuciones!T8*INT($C$7/3)),0)))))</f>
        <v>56.7</v>
      </c>
      <c r="E36" s="130">
        <f>IF(C10="Diciembre",(+D36/90)*C11,IF(C10="Junio",(+D36/180)*C11,IF(C10="Agosto",(+D36/90)*C11,0)))</f>
        <v>56.7</v>
      </c>
      <c r="F36" s="136">
        <f t="shared" si="1"/>
        <v>0</v>
      </c>
      <c r="G36" s="136">
        <f>IF($C$10="Diciembre",(+$F36/90)*$C$11,IF($C$10="Junio",(+$F36/180)*$C$11,IF($C$10="Agosto",(+$F36/60)*$C$11,0)))</f>
        <v>0</v>
      </c>
    </row>
    <row r="37" spans="2:9" ht="15" hidden="1" customHeight="1" x14ac:dyDescent="0.25">
      <c r="B37" s="27" t="str">
        <f>IF($C$10="junio","Paga extra junio, Complemento Destino",IF(AND($C$10="diciembre",C6="Interino"),"Paga extra diciembre (sep a dic), Complemento Destino",IF($C$10="agosto","Liquidación Paga extra diciembre, CompLemento Destino",IF(AND($C$10="diciembre",C6="Carrera (anterior a 1 enero 2011)"),"Paga extra diciembre, CompLemento Destino",IF(AND($C$10="diciembre",C6="Carrera (posterior a 1 enero 2011)"),"Paga extra diciembre, CompLemento Destino"," ")))))</f>
        <v>Liquidación Paga extra diciembre, CompLemento Destino</v>
      </c>
      <c r="C37" s="23"/>
      <c r="D37" s="131">
        <f>IF($C$10="junio",Retribuciones!T10,IF(AND($C$10="diciembre",C6="Interino"),Retribuciones!T10/2,IF(AND($C$10="agosto",C6="Interino"),Retribuciones!T10/2,IF(AND($C$10="diciembre",C6="Carrera (anterior a 1 enero 2011)"),Retribuciones!T10,IF(AND($C$10="diciembre",C6="Carrera (posterior a 1 enero 2011)"),Retribuciones!T10,0)))))</f>
        <v>267.995</v>
      </c>
      <c r="E37" s="130">
        <f>IF(C10="Diciembre",(+D37/90)*C11,IF(C10="Junio",(+D37/180)*C11,IF(C10="Agosto",(+D37/90)*C11,0)))</f>
        <v>267.995</v>
      </c>
      <c r="F37" s="136">
        <f t="shared" si="1"/>
        <v>0</v>
      </c>
      <c r="G37" s="136">
        <f>IF($C$10="Diciembre",(+$F37/90)*$C$11,IF($C$10="Junio",(+$F37/180)*$C$11,IF($C$10="Agosto",(+$F37/60)*$C$11,0)))</f>
        <v>0</v>
      </c>
    </row>
    <row r="38" spans="2:9" ht="15" hidden="1" customHeight="1" x14ac:dyDescent="0.25">
      <c r="B38" s="27" t="str">
        <f>IF($C$10="junio","Adicional, Complemento específico junio",IF(AND($C$10="diciembre",C6="Interino"),"Adicional, Complemento específico diciembre (sep a dic)",IF($C$10="agosto","Liquidación Adicional, Complemento específico diciembre",IF(AND($C$10="diciembre",C6="Carrera (anterior a 1 enero 2011)"),"Adicional, Complemento específico diciembre",IF(AND($C$10="diciembre",C6="Carrera (posterior a 1 enero 2011)"),"Adicional, Complemento específico diciembre"," ")))))</f>
        <v>Liquidación Adicional, Complemento específico diciembre</v>
      </c>
      <c r="C38" s="23"/>
      <c r="D38" s="131">
        <f>(IF(AND($C$9="s",C5=Retribuciones!M2),IF($C$10="junio",((Retribuciones!T11+Retribuciones!P59)*78%),IF($C$10="diciembre",((Retribuciones!T11+Retribuciones!P59)*78%),0)),IF($C$10="junio",((Retribuciones!T11)*78%),IF(AND($C$10="diciembre",C6="Interino"),((((Retribuciones!T11)*78%))/6)*4,IF(AND($C$10="agosto",C6="Interino"),((Retribuciones!T11)*78%)/3,IF(AND($C$10="diciembre",C6="Carrera (anterior a 1 enero 2011)"),(((Retribuciones!T11)*78%)),IF(AND($C$10="diciembre",C6="Carrera (posterior a 1 enero 2011)"),(((Retribuciones!T11)*78%)),0)))))))</f>
        <v>190.00280000000001</v>
      </c>
      <c r="E38" s="130">
        <f>IF($C$10="Diciembre",(+D38/120)*$C$12,IF($C$10="Junio",(+D38/180)*C$12,IF($C$10="Agosto",(+D38/60)*C$12,0)))</f>
        <v>190.00280000000001</v>
      </c>
      <c r="F38" s="136">
        <f t="shared" si="1"/>
        <v>0</v>
      </c>
      <c r="G38" s="136">
        <f>IF($C$10="Diciembre",(+F38/120)*$C$12,IF($C$10="Junio",(+F38/180)*C$12,IF($C$10="Agosto",(+F38/60)*C$12,0)))</f>
        <v>0</v>
      </c>
    </row>
    <row r="39" spans="2:9" ht="15" hidden="1" customHeight="1" x14ac:dyDescent="0.25">
      <c r="B39" s="27" t="str">
        <f>IF($C$10="junio","Paga extra Sexenios",IF(AND($C$10="diciembre",C6="Interino"),"Paga extra Sexenios (sep a dic)",IF($C$10="agosto","Liquidación Paga extra Sexenios",IF(AND($C$10="diciembre",C6="Carrera (anterior a 1 enero 2011)"),"Paga extra Sexenios",IF(AND($C$10="diciembre",C6="Carrera (posterior a 1 enero 2011)"),"Paga extra Sexenios"," ")))))</f>
        <v>Liquidación Paga extra Sexenios</v>
      </c>
      <c r="C39" s="77"/>
      <c r="D39" s="131">
        <f>IF($C$10="junio",D29*0.78,IF(AND($C$10="diciembre",C6="Interino"),(((D29*0.78)/6)*4),IF(AND($C$10="agosto",C6="Interino"),(((D29*0.78)/6)*2),IF(AND($C$10="diciembre",C6="Carrera (anterior a 1 enero 2011)"),D29*0.78,IF(AND($C$10="diciembre",C6="Carrera (posterior a 1 enero 2011)"),D29*0.78,0)))))</f>
        <v>30.94</v>
      </c>
      <c r="E39" s="130">
        <f>IF($C$10="Diciembre",(+D39/120)*$C$12,IF($C$10="Junio",(+D39/180)*C$12,IF($C$10="Agosto",(+D39/60)*C$12,0)))</f>
        <v>30.940000000000005</v>
      </c>
      <c r="F39" s="136">
        <f t="shared" si="1"/>
        <v>0</v>
      </c>
      <c r="G39" s="136">
        <f>IF($C$10="Diciembre",(+F39/120)*$C$12,IF($C$10="Junio",(+F39/180)*C$12,IF($C$10="Agosto",(+F39/60)*C$12,0)))</f>
        <v>0</v>
      </c>
    </row>
    <row r="40" spans="2:9" ht="15" hidden="1" customHeight="1" x14ac:dyDescent="0.25">
      <c r="B40" s="298" t="str">
        <f>+Nómina!B22</f>
        <v>Cargo directivo</v>
      </c>
      <c r="C40" s="299"/>
      <c r="D40" s="132">
        <f>IF(B40=S69,T69,IF(B40=S70,T70,IF(B40=S71,T71,IF(B40=S72,T72,IF(B40=S73,T73,IF(B40=S74,T74,IF(B40=S75,T75,IF(B40=S76,T76,IF(B40=S77,T77,IF(B40=S78,T78,IF(B40=S79,T79,IF(B40=S80,T80,IF(B40=S81,T81,IF(B40=S82,T82,IF(B40=S83,T83,IF(B40=S84,T84,IF(B40=S85,T85,IF(B40=S86,T86,IF(B40=S87,T87,IF(B40=S88,T88,IF(B40=S89,T89,IF(B40=S90,T90,IF(B40=S91,T91,IF(B40=S92,T92,IF(B40=S93,T93,IF(B40=S94,T94,IF(B40=S95,T95,IF(B40=S96,T96,IF(B40=S97,T97,IF(B40=S98,T98,IF(B40=S99,T99,IF(B40=S100,T100,IF(B40=S101,T101,IF(B40=S102,T102,IF(B40=S103,T103,IF(B40=S104,T104,IF(B40=S105,T105,IF(B40=S106,T106,IF(B40=S107,T107,IF(B40=S108,T108,IF(B40=S109,T109,IF(B40=S110,T110,0))))))))))))))))))))))))))))))))))))))))))</f>
        <v>0</v>
      </c>
      <c r="E40" s="130">
        <f>+(D40/30)*C$15</f>
        <v>0</v>
      </c>
      <c r="F40" s="136">
        <f>+D40</f>
        <v>0</v>
      </c>
      <c r="G40" s="136">
        <f t="shared" si="2"/>
        <v>0</v>
      </c>
    </row>
    <row r="41" spans="2:9" ht="15" hidden="1" customHeight="1" x14ac:dyDescent="0.25">
      <c r="B41" s="298" t="str">
        <f>+Nómina!B23</f>
        <v>Otros complementos: Jefe departamento, Encargado comedor, Maestros en Residencia, otros</v>
      </c>
      <c r="C41" s="299"/>
      <c r="D41" s="131">
        <f>IF(B41=S112,T112,IF(B41=S113,T113,IF(B41=S114,T114,IF(B41=S115,T115,IF(B41=S116,T116,IF(B41=S117,T117,IF(B41=S118,T118,IF(B41=S119,T119,IF(B41=S120,T120,IF(B41=S121,T121,IF(B41=S122,T122,IF(B41=S123,T123,IF(B41=S124,T124,0)))))))))))))</f>
        <v>0</v>
      </c>
      <c r="E41" s="130">
        <f>+(D41/30)*C$15</f>
        <v>0</v>
      </c>
      <c r="F41" s="136">
        <f t="shared" ref="F41:F43" si="3">+D41</f>
        <v>0</v>
      </c>
      <c r="G41" s="136">
        <f t="shared" si="2"/>
        <v>0</v>
      </c>
    </row>
    <row r="42" spans="2:9" ht="15" hidden="1" customHeight="1" x14ac:dyDescent="0.25">
      <c r="B42" s="298" t="str">
        <f>+Nómina!B24</f>
        <v>Otros complementos: Tutoría, AICLE/PILE, Coordinación</v>
      </c>
      <c r="C42" s="299"/>
      <c r="D42" s="131">
        <f>IF(B42=S125,T125,IF(B42=S126,T126,IF(B42=S127,T127,IF(B42=S128,T128,IF(B42=S129,T129,IF(B42=S130,T130,IF(B42=S131,T131,IF(B42=S132,T132,IF(B42=S133,T133,IF(B42=S134,T134,IF(B42=S135,T135,IF(B42=S136,T136,0))))))))))))</f>
        <v>0</v>
      </c>
      <c r="E42" s="130">
        <f>+(D42/30)*C$15</f>
        <v>0</v>
      </c>
      <c r="F42" s="136">
        <f t="shared" si="3"/>
        <v>0</v>
      </c>
      <c r="G42" s="136">
        <f t="shared" si="2"/>
        <v>0</v>
      </c>
    </row>
    <row r="43" spans="2:9" ht="15" hidden="1" customHeight="1" x14ac:dyDescent="0.25">
      <c r="B43" s="298" t="str">
        <f>+Nómina!B25</f>
        <v>Otros complementos: AICLE/PILE, Coordinación</v>
      </c>
      <c r="C43" s="299"/>
      <c r="D43" s="131">
        <f>IF(B43=S137,T137,IF(B43=S138,T138,IF(B43=S139,T139,IF(B43=S140,T140,IF(B43=S141,T141,IF(B43=S142,T142,IF(B43=S143,T143,IF(B43=S144,T144,IF(B43=S145,T145,0)))))))))</f>
        <v>0</v>
      </c>
      <c r="E43" s="130">
        <f>+(D43/30)*C$15</f>
        <v>0</v>
      </c>
      <c r="F43" s="136">
        <f t="shared" si="3"/>
        <v>0</v>
      </c>
      <c r="G43" s="136">
        <f t="shared" si="2"/>
        <v>0</v>
      </c>
    </row>
    <row r="44" spans="2:9" ht="15" hidden="1" customHeight="1" x14ac:dyDescent="0.25">
      <c r="B44" s="298" t="str">
        <f>+Nómina!B46</f>
        <v>Otras retribuciones (introducirla)</v>
      </c>
      <c r="C44" s="299"/>
      <c r="D44" s="133">
        <f>+Nómina!D46</f>
        <v>0</v>
      </c>
      <c r="E44" s="130"/>
      <c r="F44" s="136"/>
      <c r="G44" s="136"/>
    </row>
    <row r="45" spans="2:9" ht="15" hidden="1" customHeight="1" x14ac:dyDescent="0.25">
      <c r="B45" s="3" t="s">
        <v>45</v>
      </c>
      <c r="C45" s="4"/>
      <c r="D45" s="5">
        <f>SUM(D22:D44)</f>
        <v>3679.5527999999999</v>
      </c>
      <c r="E45" s="5">
        <f t="shared" ref="E45:G45" si="4">SUM(E22:E44)</f>
        <v>936.21280000000002</v>
      </c>
      <c r="F45" s="5">
        <f t="shared" si="4"/>
        <v>0</v>
      </c>
      <c r="G45" s="5">
        <f t="shared" si="4"/>
        <v>0</v>
      </c>
    </row>
    <row r="46" spans="2:9" ht="15" hidden="1" customHeight="1" x14ac:dyDescent="0.25">
      <c r="B46" s="10"/>
      <c r="C46" s="10"/>
      <c r="D46" s="10"/>
    </row>
    <row r="47" spans="2:9" ht="15" hidden="1" customHeight="1" x14ac:dyDescent="0.25">
      <c r="B47" s="124" t="s">
        <v>51</v>
      </c>
      <c r="C47" s="322" t="s">
        <v>114</v>
      </c>
      <c r="D47" s="322"/>
      <c r="E47" s="322"/>
      <c r="F47" s="322"/>
      <c r="G47" s="322"/>
      <c r="I47" s="59" t="s">
        <v>115</v>
      </c>
    </row>
    <row r="48" spans="2:9" ht="15" hidden="1" customHeight="1" x14ac:dyDescent="0.25">
      <c r="B48" s="6" t="s">
        <v>185</v>
      </c>
      <c r="C48" s="23"/>
      <c r="D48" s="11">
        <v>-6</v>
      </c>
      <c r="E48" s="17">
        <f t="shared" ref="E48" si="5">+(D48/30)*C$15</f>
        <v>0</v>
      </c>
      <c r="F48" s="17">
        <f>IF(OR(C$5=P$92,C$5=P$93,C$5=P$94,C$5=P$96,C$5=P$97,C$5=P$98),(D48/18)*C$14,(D48/25)*C$14)</f>
        <v>0</v>
      </c>
      <c r="G48" s="17">
        <f t="shared" ref="G48" si="6">+(F48/30)*C$15</f>
        <v>0</v>
      </c>
      <c r="I48" s="56"/>
    </row>
    <row r="49" spans="1:25" ht="15" hidden="1" customHeight="1" x14ac:dyDescent="0.25">
      <c r="B49" s="15" t="str">
        <f>IF(C6=P68,"Derechos Pasivos","Contingencias Comunes: 4,7% y 23,6%")</f>
        <v>Contingencias Comunes: 4,7% y 23,6%</v>
      </c>
      <c r="C49" s="29" t="str">
        <f>IF(C6=P68," ","4,70%")</f>
        <v>4,70%</v>
      </c>
      <c r="D49" s="11">
        <f>IF(OR(C6="interino",C6=P69),-D62*4.7%,IF($C$10="junio",-2*Retribuciones!T27,IF($C$10="diciembre",-2*Retribuciones!T27,-Retribuciones!T27)))</f>
        <v>-145.33504499999995</v>
      </c>
      <c r="E49" s="16">
        <f>+(D49/30)*C$15</f>
        <v>0</v>
      </c>
      <c r="F49" s="16">
        <f>IF(OR(C$5=P$92,C$5=P$93,C$5=P$94,C$5=P$96,C$5=P$97,C$5=P$98),(D49/18)*C$14,(D49/25)*C$14)</f>
        <v>0</v>
      </c>
      <c r="G49" s="16">
        <f t="shared" ref="G49" si="7">+(F49/30)*C$15</f>
        <v>0</v>
      </c>
      <c r="I49" s="62">
        <f>IF(OR(C6="interino",C6=P69),ROUND(-D62*23.6%,2)," ")</f>
        <v>-729.77</v>
      </c>
    </row>
    <row r="50" spans="1:25" ht="15.75" hidden="1" x14ac:dyDescent="0.25">
      <c r="B50" s="6" t="str">
        <f>IF(OR(C6=P68,C6=P69),"MUFACE","Cuota Desempleo: 1,55% y 5,5%")</f>
        <v>Cuota Desempleo: 1,55% y 5,5%</v>
      </c>
      <c r="C50" s="29" t="str">
        <f>IF(C6=P70,"1,55%"," ")</f>
        <v>1,55%</v>
      </c>
      <c r="D50" s="11">
        <f>IF(C6="interino",-D62*1.55%,IF($C$10="junio",-2*Retribuciones!T26,IF($C$10="diciembre",-2*Retribuciones!T26,-Retribuciones!T26)))</f>
        <v>-47.929642499999986</v>
      </c>
      <c r="E50" s="16">
        <f t="shared" ref="E50:E51" si="8">+(D50/30)*C$15</f>
        <v>0</v>
      </c>
      <c r="F50" s="16">
        <f>IF(OR(C$5=P$92,C$5=P$93,C$5=P$94,C$5=P$96,C$5=P$97,C$5=P$98),(D50/18)*C$14,(D50/25)*C$14)</f>
        <v>0</v>
      </c>
      <c r="G50" s="16">
        <f t="shared" ref="G50:G51" si="9">+(F50/30)*C$15</f>
        <v>0</v>
      </c>
      <c r="I50" s="62">
        <f>IF(C6="interino",ROUND(-D62*5.5%,2)," ")</f>
        <v>-170.07</v>
      </c>
    </row>
    <row r="51" spans="1:25" ht="15" hidden="1" customHeight="1" x14ac:dyDescent="0.25">
      <c r="B51" s="6" t="str">
        <f>IF(C6=P70,"Cuota Formación Profesional: 0,10% y 0,60%",IF(C6=P69,"Coeficiente reductor: 0,009 y 0,046"," "))</f>
        <v>Cuota Formación Profesional: 0,10% y 0,60%</v>
      </c>
      <c r="C51" s="61" t="str">
        <f>IF(C6=P70,"0,10%",IF(C6=P69,0.009," "))</f>
        <v>0,10%</v>
      </c>
      <c r="D51" s="11">
        <f>IF(C6="interino",ROUND(-D62*0.1%,2),IF(C6=P69,0.009*-(+D49+I49),0))</f>
        <v>-3.09</v>
      </c>
      <c r="E51" s="16">
        <f t="shared" si="8"/>
        <v>0</v>
      </c>
      <c r="F51" s="16">
        <f>IF(OR(C$5=P$92,C$5=P$93,C$5=P$94,C$5=P$96,C$5=P$97,C$5=P$98),(D51/18)*C$14,(D51/25)*C$14)</f>
        <v>0</v>
      </c>
      <c r="G51" s="16">
        <f t="shared" si="9"/>
        <v>0</v>
      </c>
      <c r="I51" s="62">
        <f>IF(C6="interino",ROUND(-D62*0.6%,2),IF(C6=P69,ROUND(0.046*-(+D49+I49),2)," "))</f>
        <v>-18.55</v>
      </c>
    </row>
    <row r="52" spans="1:25" ht="15" hidden="1" customHeight="1" x14ac:dyDescent="0.25">
      <c r="B52" s="127" t="s">
        <v>50</v>
      </c>
      <c r="C52" s="125"/>
      <c r="D52" s="126">
        <f>+C17</f>
        <v>0.14049334001135094</v>
      </c>
      <c r="E52" s="135"/>
      <c r="F52" s="135"/>
      <c r="G52" s="135"/>
      <c r="I52" s="62"/>
    </row>
    <row r="53" spans="1:25" ht="15.75" hidden="1" x14ac:dyDescent="0.25">
      <c r="B53" s="57" t="s">
        <v>199</v>
      </c>
      <c r="D53" s="18">
        <f>-(+D45)*D52</f>
        <v>-516.95266262011842</v>
      </c>
      <c r="E53" s="16"/>
      <c r="F53" s="16"/>
      <c r="G53" s="16"/>
      <c r="I53" s="56"/>
      <c r="J53" s="120">
        <f>+I17</f>
        <v>0.28153210323600902</v>
      </c>
      <c r="K53" s="121">
        <f>IF(C6="Interino",-J53*D45,"")</f>
        <v>-1035.912238751946</v>
      </c>
      <c r="L53" s="122" t="str">
        <f>IF(C6="Interino","Retención mensual de septiembre 2019","")</f>
        <v>Retención mensual de septiembre 2019</v>
      </c>
      <c r="M53" s="123"/>
      <c r="Q53" s="105"/>
      <c r="R53" s="105"/>
      <c r="S53" s="105"/>
      <c r="T53" s="105"/>
      <c r="U53" s="105"/>
      <c r="V53" s="105"/>
      <c r="W53" s="105"/>
      <c r="X53" s="106"/>
    </row>
    <row r="54" spans="1:25" ht="15" hidden="1" customHeight="1" x14ac:dyDescent="0.25"/>
    <row r="55" spans="1:25" ht="15.75" hidden="1" x14ac:dyDescent="0.25">
      <c r="B55" s="3" t="s">
        <v>46</v>
      </c>
      <c r="C55" s="4"/>
      <c r="D55" s="19">
        <f>SUM(D48:D53)</f>
        <v>-719.16685678010697</v>
      </c>
      <c r="E55" s="19">
        <f>SUM(E48:E53)</f>
        <v>0</v>
      </c>
      <c r="F55" s="19">
        <f t="shared" ref="F55:G55" si="10">SUM(F48:F53)</f>
        <v>0</v>
      </c>
      <c r="G55" s="19">
        <f t="shared" si="10"/>
        <v>0</v>
      </c>
      <c r="K55" s="140">
        <f>IF(C6="Interino",SUM(D48:D51)+K53,"")</f>
        <v>-1238.266926251946</v>
      </c>
    </row>
    <row r="56" spans="1:25" ht="15" hidden="1" customHeight="1" x14ac:dyDescent="0.25"/>
    <row r="57" spans="1:25" ht="15" hidden="1" customHeight="1" x14ac:dyDescent="0.25">
      <c r="B57" s="7" t="s">
        <v>167</v>
      </c>
      <c r="C57" s="8"/>
      <c r="D57" s="9">
        <f>+D45+D55</f>
        <v>2960.3859432198929</v>
      </c>
      <c r="E57" s="9">
        <f t="shared" ref="E57:G57" si="11">+E45+E55</f>
        <v>936.21280000000002</v>
      </c>
      <c r="F57" s="9">
        <f t="shared" si="11"/>
        <v>0</v>
      </c>
      <c r="G57" s="9">
        <f t="shared" si="11"/>
        <v>0</v>
      </c>
      <c r="K57" s="9">
        <f>IF(C6="Interino",+D45+K55,"")</f>
        <v>2441.2858737480537</v>
      </c>
      <c r="Q57" s="105"/>
      <c r="R57" s="105"/>
      <c r="S57" s="105"/>
      <c r="T57" s="105"/>
      <c r="U57" s="105"/>
      <c r="V57" s="105"/>
      <c r="W57" s="105"/>
      <c r="X57" s="106"/>
    </row>
    <row r="58" spans="1:25" ht="3.75" hidden="1" customHeight="1" x14ac:dyDescent="0.25">
      <c r="A58" s="24"/>
      <c r="B58" s="24"/>
      <c r="C58" s="24"/>
      <c r="D58" s="24"/>
    </row>
    <row r="59" spans="1:25" ht="15.75" hidden="1" x14ac:dyDescent="0.25">
      <c r="A59" s="24"/>
      <c r="B59" s="236" t="s">
        <v>168</v>
      </c>
      <c r="C59" s="237"/>
      <c r="D59" s="25">
        <f>+Retribuciones!T33+((D40+D41+D42+D43+D44)*12)</f>
        <v>37106.819999999992</v>
      </c>
      <c r="E59" s="16">
        <f>+(D59/30)*C$15</f>
        <v>0</v>
      </c>
      <c r="F59" s="16">
        <f>IF(OR(C$5=P$92,C$5=P$93,C$5=P$94,C$5=P$96,C$5=P$97,C$5=P$98),(D59/18)*C$14,(D59/25)*C$14)</f>
        <v>0</v>
      </c>
      <c r="G59" s="16">
        <f t="shared" ref="G59" si="12">+(F59/30)*C$15</f>
        <v>0</v>
      </c>
      <c r="Q59" s="105"/>
      <c r="R59" s="105"/>
      <c r="S59" s="105"/>
      <c r="T59" s="105"/>
      <c r="U59" s="105"/>
      <c r="V59" s="105"/>
      <c r="W59" s="105"/>
      <c r="X59" s="105"/>
      <c r="Y59" s="106"/>
    </row>
    <row r="60" spans="1:25" ht="15.75" hidden="1" x14ac:dyDescent="0.25">
      <c r="A60" s="24"/>
      <c r="B60" s="236" t="str">
        <f>IF(C6="carrera (anterior a 1 enero 2011)","Derechos Pasivos, MUFACE y Cuota sindical",IF(C6="Carrera (posterior a 1 enero 2011)","MUFACE, Seguridad Social (contingentes comunes) y Cuota sindical.","Seguridad Social y Cuota sindical"))</f>
        <v>Seguridad Social y Cuota sindical</v>
      </c>
      <c r="C60" s="237"/>
      <c r="D60" s="25">
        <f>IF(C6="carrera (anterior a 1 enero 2011)",(-(Retribuciones!T26+Retribuciones!T27)*14)+(D48*12),IF(C6="Carrera (posterior a 1 enero 2011)",((D49+D51)*12)+(D50*14),-(D59*6.35%)-(D48*12)))</f>
        <v>-2284.2830699999995</v>
      </c>
      <c r="E60" s="25">
        <f>IF(D6="carrera (anterior a 1 enero 2011)",(-(Retribuciones!Q26+Retribuciones!Q27)*14)+(E48*12),IF(D6="Carrera (posterior a 1 enero 2011)",((E49+E51)*12)+(E50*14),-(E59*6.35%)-(E48*12)))</f>
        <v>0</v>
      </c>
      <c r="F60" s="25">
        <f>IF(E6="carrera (anterior a 1 enero 2011)",(-(Retribuciones!R26+Retribuciones!R27)*14)+(F48*12),IF(E6="Carrera (posterior a 1 enero 2011)",((F49+F51)*12)+(F50*14),-(F59*6.35%)-(F48*12)))</f>
        <v>0</v>
      </c>
      <c r="G60" s="25">
        <f>IF(F6="carrera (anterior a 1 enero 2011)",(-(Retribuciones!#REF!+Retribuciones!#REF!)*14)+(G48*12),IF(F6="Carrera (posterior a 1 enero 2011)",((G49+G51)*12)+(G50*14),-(G59*6.35%)-(G48*12)))</f>
        <v>0</v>
      </c>
    </row>
    <row r="61" spans="1:25" ht="15.75" hidden="1" x14ac:dyDescent="0.25">
      <c r="A61" s="24"/>
      <c r="B61" s="24"/>
      <c r="C61" s="24"/>
      <c r="D61" s="24"/>
    </row>
    <row r="62" spans="1:25" ht="15.75" hidden="1" x14ac:dyDescent="0.25">
      <c r="A62" s="24"/>
      <c r="B62" s="3" t="str">
        <f>IF(OR(C6="interino",C6=P69),"Base cotización Seguridad Social"," ")</f>
        <v>Base cotización Seguridad Social</v>
      </c>
      <c r="C62" s="26"/>
      <c r="D62" s="25">
        <f>IF(OR(C6="interino",C6=P69),+D59/12," ")</f>
        <v>3092.2349999999992</v>
      </c>
      <c r="E62" s="16">
        <f>+(D62/30)*C$15</f>
        <v>0</v>
      </c>
      <c r="F62" s="16">
        <f>IF(OR(C$5=P$92,C$5=P$93,C$5=P$94,C$5=P$96,C$5=P$97,C$5=P$98),(D62/18)*C$14,(D62/25)*C$14)</f>
        <v>0</v>
      </c>
      <c r="G62" s="16">
        <f t="shared" ref="G62" si="13">+(F62/30)*C$15</f>
        <v>0</v>
      </c>
    </row>
    <row r="63" spans="1:25" ht="12.95" hidden="1" customHeight="1" x14ac:dyDescent="0.25">
      <c r="A63" s="24"/>
      <c r="B63" s="24"/>
      <c r="C63" s="24"/>
      <c r="D63" s="24"/>
    </row>
    <row r="64" spans="1:25" ht="18" hidden="1" customHeight="1" x14ac:dyDescent="0.25">
      <c r="B64" s="319" t="s">
        <v>152</v>
      </c>
      <c r="C64" s="320"/>
      <c r="D64" s="321"/>
    </row>
    <row r="65" spans="13:22" ht="18" hidden="1" customHeight="1" x14ac:dyDescent="0.25"/>
    <row r="68" spans="13:22" ht="12.95" hidden="1" customHeight="1" x14ac:dyDescent="0.25">
      <c r="N68" s="1">
        <v>0</v>
      </c>
      <c r="P68" s="36" t="s">
        <v>124</v>
      </c>
      <c r="S68" s="100" t="str">
        <f>+Retribuciones!O3</f>
        <v>Complemento Especial Responsabilidad:</v>
      </c>
      <c r="T68" s="38"/>
      <c r="U68" s="1">
        <f>+Nómina!V69</f>
        <v>0</v>
      </c>
      <c r="V68" s="1">
        <f>+U68*78%</f>
        <v>0</v>
      </c>
    </row>
    <row r="69" spans="13:22" ht="12.95" hidden="1" customHeight="1" x14ac:dyDescent="0.25">
      <c r="N69" s="1">
        <v>1</v>
      </c>
      <c r="P69" s="36" t="s">
        <v>125</v>
      </c>
      <c r="S69" s="96" t="str">
        <f>+Retribuciones!O4</f>
        <v>Director/ra CEIP, CEP, CEEE, EEI, CEPA. Coordinador CER. Tipo A (Más de 35 Unidades)</v>
      </c>
      <c r="T69" s="75">
        <f>+Retribuciones!P4</f>
        <v>552.34</v>
      </c>
    </row>
    <row r="70" spans="13:22" ht="12.95" hidden="1" customHeight="1" x14ac:dyDescent="0.25">
      <c r="N70" s="1">
        <v>2</v>
      </c>
      <c r="P70" s="36" t="s">
        <v>57</v>
      </c>
      <c r="S70" s="96" t="str">
        <f>+Retribuciones!O5</f>
        <v>Director/ra CEIP, CEP, CEEE, EEI, CEPA. Coordinador CER. Tipo B (27 a 35 Unidades)</v>
      </c>
      <c r="T70" s="75">
        <f>+Retribuciones!P5</f>
        <v>503.95</v>
      </c>
    </row>
    <row r="71" spans="13:22" ht="12.95" hidden="1" customHeight="1" x14ac:dyDescent="0.25">
      <c r="M71" s="1" t="s">
        <v>47</v>
      </c>
      <c r="N71" s="1">
        <v>3</v>
      </c>
      <c r="S71" s="96" t="str">
        <f>+Retribuciones!O6</f>
        <v>Director/ra CEIP, CEP, CEEE, EEI, CEPA. Coordinador CER. Tipo C (18 a 26 Unidades)</v>
      </c>
      <c r="T71" s="75">
        <f>+Retribuciones!P6</f>
        <v>380.04</v>
      </c>
    </row>
    <row r="72" spans="13:22" ht="12.95" hidden="1" customHeight="1" x14ac:dyDescent="0.25">
      <c r="M72" s="1" t="s">
        <v>43</v>
      </c>
      <c r="N72" s="1">
        <v>4</v>
      </c>
      <c r="S72" s="97" t="str">
        <f>+Retribuciones!O7</f>
        <v>Director/ra CEIP, CEP, CEEE, EEI, CEPA. Coordinador CER. Tipo D (9 a 17 Unidades)</v>
      </c>
      <c r="T72" s="75">
        <f>+Retribuciones!P7</f>
        <v>289.17</v>
      </c>
    </row>
    <row r="73" spans="13:22" ht="12.95" hidden="1" customHeight="1" x14ac:dyDescent="0.25">
      <c r="N73" s="1">
        <v>5</v>
      </c>
      <c r="P73" s="37" t="s">
        <v>60</v>
      </c>
      <c r="S73" s="97" t="str">
        <f>+Retribuciones!O8</f>
        <v>Director/ra CEIP, CEP, CEEE, EEI, CEPA. Coordinador CER. Tipo E (6 a 8 Unidades)</v>
      </c>
      <c r="T73" s="75">
        <f>+Retribuciones!P8</f>
        <v>195.96</v>
      </c>
    </row>
    <row r="74" spans="13:22" ht="12.95" hidden="1" customHeight="1" x14ac:dyDescent="0.25">
      <c r="M74" s="1" t="s">
        <v>43</v>
      </c>
      <c r="N74" s="1">
        <v>6</v>
      </c>
      <c r="P74" s="37" t="s">
        <v>170</v>
      </c>
      <c r="S74" s="97" t="str">
        <f>+Retribuciones!O9</f>
        <v>Director/ra CEIP, CEP, CEEE, EEI, CEPA. Coordinador CER. Tipo F (1 a 5 Unidades)</v>
      </c>
      <c r="T74" s="75">
        <f>+Retribuciones!P9</f>
        <v>122.79</v>
      </c>
    </row>
    <row r="75" spans="13:22" ht="12.95" hidden="1" customHeight="1" x14ac:dyDescent="0.25">
      <c r="M75" s="1" t="s">
        <v>48</v>
      </c>
      <c r="N75" s="1">
        <v>7</v>
      </c>
      <c r="P75" s="37" t="s">
        <v>58</v>
      </c>
      <c r="S75" s="96" t="str">
        <f>+Retribuciones!O10</f>
        <v>J. Estudios. CEIP, CEP, CEEE, EEI, CEPA. Tipo A (Más de 35 Unidades)</v>
      </c>
      <c r="T75" s="75">
        <f>+Retribuciones!P10</f>
        <v>226.64</v>
      </c>
    </row>
    <row r="76" spans="13:22" ht="12.95" hidden="1" customHeight="1" x14ac:dyDescent="0.25">
      <c r="M76" s="1" t="s">
        <v>49</v>
      </c>
      <c r="N76" s="1">
        <v>8</v>
      </c>
      <c r="P76" s="37" t="s">
        <v>59</v>
      </c>
      <c r="S76" s="96" t="str">
        <f>+Retribuciones!O11</f>
        <v>J. Estudios. CEIP, CEP, CEEE, EEI, CEPA. Tipo B (27 a 35 Unidades)</v>
      </c>
      <c r="T76" s="75">
        <f>+Retribuciones!P11</f>
        <v>217.21</v>
      </c>
    </row>
    <row r="77" spans="13:22" ht="12.95" hidden="1" customHeight="1" x14ac:dyDescent="0.25">
      <c r="M77" s="1" t="s">
        <v>128</v>
      </c>
      <c r="N77" s="1">
        <v>9</v>
      </c>
      <c r="P77" s="37" t="s">
        <v>171</v>
      </c>
      <c r="S77" s="97" t="str">
        <f>+Retribuciones!O12</f>
        <v>J. Estudios. CEIP, CEP, CEEE, EEI, CEPA. Tipo C (18 a 26 Unidades)</v>
      </c>
      <c r="T77" s="75">
        <f>+Retribuciones!P12</f>
        <v>203.02</v>
      </c>
    </row>
    <row r="78" spans="13:22" ht="12.95" hidden="1" customHeight="1" x14ac:dyDescent="0.25">
      <c r="N78" s="1">
        <v>10</v>
      </c>
      <c r="P78" s="37" t="s">
        <v>61</v>
      </c>
      <c r="S78" s="96" t="str">
        <f>+Retribuciones!O13</f>
        <v>J. Estudios. CEIP, CEP, CEEE, EEI, CEPA. Tipo D (9 a 17 Unidades)</v>
      </c>
      <c r="T78" s="75">
        <f>+Retribuciones!P13</f>
        <v>158.18</v>
      </c>
    </row>
    <row r="79" spans="13:22" ht="12.95" hidden="1" customHeight="1" x14ac:dyDescent="0.25">
      <c r="N79" s="1">
        <v>11</v>
      </c>
      <c r="P79" s="37" t="s">
        <v>172</v>
      </c>
      <c r="S79" s="97" t="str">
        <f>+Retribuciones!O14</f>
        <v>Secretario/a. CEIP, CEP, CEEE, EEI, CEPA. Tipo A (Más de 35 Unidades)</v>
      </c>
      <c r="T79" s="75">
        <f>+Retribuciones!P14</f>
        <v>226.64</v>
      </c>
    </row>
    <row r="80" spans="13:22" ht="12.95" hidden="1" customHeight="1" x14ac:dyDescent="0.25">
      <c r="N80" s="1">
        <v>12</v>
      </c>
      <c r="P80" s="37" t="s">
        <v>173</v>
      </c>
      <c r="S80" s="96" t="str">
        <f>+Retribuciones!O15</f>
        <v>Secretario/a. CEIP, CEP, CEEE, EEI, CEPA. Tipo B (27 a 35 Unidades)</v>
      </c>
      <c r="T80" s="75">
        <f>+Retribuciones!P15</f>
        <v>217.21</v>
      </c>
    </row>
    <row r="81" spans="14:20" ht="12.95" hidden="1" customHeight="1" x14ac:dyDescent="0.25">
      <c r="N81" s="1">
        <v>13</v>
      </c>
      <c r="P81" s="37" t="s">
        <v>174</v>
      </c>
      <c r="S81" s="96" t="str">
        <f>+Retribuciones!O16</f>
        <v>Secretario/a. CEIP, CEP, CEEE, EEI, CEPA. Tipo C (18 a 26 Unidades)</v>
      </c>
      <c r="T81" s="75">
        <f>+Retribuciones!P16</f>
        <v>203.02</v>
      </c>
    </row>
    <row r="82" spans="14:20" ht="12.95" hidden="1" customHeight="1" x14ac:dyDescent="0.25">
      <c r="N82" s="1">
        <v>14</v>
      </c>
      <c r="P82" s="37" t="s">
        <v>175</v>
      </c>
      <c r="S82" s="96" t="str">
        <f>+Retribuciones!O17</f>
        <v>Secretario/a. CEIP, CEP, CEEE, EEI, CEPA. Tipo D (9 a 17 Unidades)</v>
      </c>
      <c r="T82" s="75">
        <f>+Retribuciones!P17</f>
        <v>158.18</v>
      </c>
    </row>
    <row r="83" spans="14:20" ht="12.95" hidden="1" customHeight="1" x14ac:dyDescent="0.25">
      <c r="N83" s="1">
        <v>15</v>
      </c>
      <c r="P83" s="37" t="s">
        <v>62</v>
      </c>
      <c r="S83" s="96" t="str">
        <f>+Retribuciones!O18</f>
        <v>Secretario/a. CEIP, CEP, CEEE, EEI, CEPA. Tipo E (6 a 8 Unidades)</v>
      </c>
      <c r="T83" s="75">
        <f>+Retribuciones!P18</f>
        <v>106.25</v>
      </c>
    </row>
    <row r="84" spans="14:20" ht="12.95" hidden="1" customHeight="1" x14ac:dyDescent="0.25">
      <c r="N84" s="1">
        <v>16</v>
      </c>
      <c r="P84" s="37" t="s">
        <v>176</v>
      </c>
      <c r="S84" s="96" t="str">
        <f>+Retribuciones!O19</f>
        <v>Vicedirector/ra. CEIP, CEP, CEEE, EEI Tipo A (Más de 35 Unidades)</v>
      </c>
      <c r="T84" s="75">
        <f>+Retribuciones!P19</f>
        <v>226.64</v>
      </c>
    </row>
    <row r="85" spans="14:20" ht="12.95" hidden="1" customHeight="1" x14ac:dyDescent="0.25">
      <c r="N85" s="1">
        <v>17</v>
      </c>
      <c r="P85" s="37" t="s">
        <v>63</v>
      </c>
      <c r="S85" s="96" t="str">
        <f>+Retribuciones!O20</f>
        <v>Vicedirector/ra. CEIP, CEP, CEEE, EEI Tipo B (27 a 35 Unidades)</v>
      </c>
      <c r="T85" s="75">
        <f>+Retribuciones!P20</f>
        <v>217.21</v>
      </c>
    </row>
    <row r="86" spans="14:20" ht="12.95" hidden="1" customHeight="1" x14ac:dyDescent="0.25">
      <c r="N86" s="1">
        <v>18</v>
      </c>
      <c r="P86" s="37" t="s">
        <v>64</v>
      </c>
      <c r="S86" s="97" t="str">
        <f>+Retribuciones!O21</f>
        <v>Vicedirector/ra. CEIP, CEP, CEEE, EEI Tipo C (18 a 26 Unidades)</v>
      </c>
      <c r="T86" s="75">
        <f>+Retribuciones!P21</f>
        <v>203.02</v>
      </c>
    </row>
    <row r="87" spans="14:20" ht="12.95" hidden="1" customHeight="1" x14ac:dyDescent="0.25">
      <c r="N87" s="1">
        <v>19</v>
      </c>
      <c r="P87" s="37" t="s">
        <v>177</v>
      </c>
      <c r="S87" s="98" t="str">
        <f>+Retribuciones!O22</f>
        <v>Director/ra IES, CEO, EA. Centro Tipo A (1650 o más Alumnos)</v>
      </c>
      <c r="T87" s="75">
        <f>+Retribuciones!P22</f>
        <v>694.22</v>
      </c>
    </row>
    <row r="88" spans="14:20" ht="12.95" hidden="1" customHeight="1" x14ac:dyDescent="0.25">
      <c r="N88" s="1">
        <v>20</v>
      </c>
      <c r="P88" s="37" t="s">
        <v>65</v>
      </c>
      <c r="S88" s="98" t="str">
        <f>+Retribuciones!O23</f>
        <v>Director/ra IES, CEO, EA. Centro Tipo B (de 901 a 1649 Alumnos)</v>
      </c>
      <c r="T88" s="75">
        <f>+Retribuciones!P23</f>
        <v>617.53</v>
      </c>
    </row>
    <row r="89" spans="14:20" ht="12.95" hidden="1" customHeight="1" x14ac:dyDescent="0.25">
      <c r="N89" s="1">
        <v>21</v>
      </c>
      <c r="P89" s="37" t="s">
        <v>178</v>
      </c>
      <c r="S89" s="98" t="str">
        <f>+Retribuciones!O24</f>
        <v>Director/ra IES, CEO, EA. Centro Tipo C (de 581 a 900 Alumnos)</v>
      </c>
      <c r="T89" s="75">
        <f>+Retribuciones!P24</f>
        <v>556.11</v>
      </c>
    </row>
    <row r="90" spans="14:20" ht="12.95" hidden="1" customHeight="1" x14ac:dyDescent="0.25">
      <c r="N90" s="1">
        <v>22</v>
      </c>
      <c r="S90" s="98" t="str">
        <f>+Retribuciones!O25</f>
        <v>Director/ra IES, CEO, EA. Centro Tipo D (hasta 580 Alumnos)</v>
      </c>
      <c r="T90" s="75">
        <f>+Retribuciones!P25</f>
        <v>506.52</v>
      </c>
    </row>
    <row r="91" spans="14:20" ht="12.95" hidden="1" customHeight="1" x14ac:dyDescent="0.25">
      <c r="N91" s="1">
        <v>23</v>
      </c>
      <c r="S91" s="98" t="str">
        <f>+Retribuciones!O26</f>
        <v>Jefe Estudios IES, CEO, EA. Centro Tipo A (1650 o más Alumnos)</v>
      </c>
      <c r="T91" s="75">
        <f>+Retribuciones!P26</f>
        <v>341.27</v>
      </c>
    </row>
    <row r="92" spans="14:20" ht="12.95" hidden="1" customHeight="1" x14ac:dyDescent="0.25">
      <c r="N92" s="1">
        <v>24</v>
      </c>
      <c r="P92" s="36" t="s">
        <v>66</v>
      </c>
      <c r="S92" s="99" t="str">
        <f>+Retribuciones!O27</f>
        <v>Jefe Estudios IES, CEO, EA. Centro Tipo B (de 901 a 1649 Alumnos)</v>
      </c>
      <c r="T92" s="75">
        <f>+Retribuciones!P27</f>
        <v>327.08999999999997</v>
      </c>
    </row>
    <row r="93" spans="14:20" ht="12.95" hidden="1" customHeight="1" x14ac:dyDescent="0.25">
      <c r="N93" s="1">
        <v>25</v>
      </c>
      <c r="P93" s="36" t="s">
        <v>67</v>
      </c>
      <c r="S93" s="99" t="str">
        <f>+Retribuciones!O28</f>
        <v>Jefe Estudios IES, CEO, EA. Centro Tipo C (de 581 a 900 Alumnos)</v>
      </c>
      <c r="T93" s="75">
        <f>+Retribuciones!P28</f>
        <v>253.88</v>
      </c>
    </row>
    <row r="94" spans="14:20" ht="12.95" hidden="1" customHeight="1" x14ac:dyDescent="0.25">
      <c r="N94" s="1">
        <v>26</v>
      </c>
      <c r="P94" s="36" t="s">
        <v>68</v>
      </c>
      <c r="S94" s="99" t="str">
        <f>+Retribuciones!O29</f>
        <v>Jefe Estudios IES, CEO, EA. Centro Tipo D (hasta 580 Alumnos)</v>
      </c>
      <c r="T94" s="75">
        <f>+Retribuciones!P29</f>
        <v>203.13</v>
      </c>
    </row>
    <row r="95" spans="14:20" ht="12.95" hidden="1" customHeight="1" x14ac:dyDescent="0.25">
      <c r="N95" s="1">
        <v>27</v>
      </c>
      <c r="P95" s="36" t="s">
        <v>69</v>
      </c>
      <c r="S95" s="99" t="str">
        <f>+Retribuciones!O30</f>
        <v>Secretario/a IES, CEO, EA. Centro Tipo A (1650 o más Alumnos)</v>
      </c>
      <c r="T95" s="75">
        <f>+Retribuciones!P30</f>
        <v>341.27</v>
      </c>
    </row>
    <row r="96" spans="14:20" ht="12.95" hidden="1" customHeight="1" x14ac:dyDescent="0.25">
      <c r="N96" s="1">
        <v>28</v>
      </c>
      <c r="P96" s="36" t="s">
        <v>70</v>
      </c>
      <c r="S96" s="99" t="str">
        <f>+Retribuciones!O31</f>
        <v>Secretario/a IES, CEO, EA. Centro Tipo B (de 901 a 1649 Alumnos)</v>
      </c>
      <c r="T96" s="75">
        <f>+Retribuciones!P31</f>
        <v>327.08999999999997</v>
      </c>
    </row>
    <row r="97" spans="13:20" ht="12.95" hidden="1" customHeight="1" x14ac:dyDescent="0.25">
      <c r="N97" s="1">
        <v>29</v>
      </c>
      <c r="P97" s="36" t="s">
        <v>71</v>
      </c>
      <c r="S97" s="98" t="str">
        <f>+Retribuciones!O32</f>
        <v>Secretario/a IES, CEO, EA. Centro Tipo C (de 581 a 900 Alumnos)</v>
      </c>
      <c r="T97" s="75">
        <f>+Retribuciones!P32</f>
        <v>253.88</v>
      </c>
    </row>
    <row r="98" spans="13:20" ht="12.95" hidden="1" customHeight="1" x14ac:dyDescent="0.25">
      <c r="N98" s="1">
        <v>30</v>
      </c>
      <c r="P98" s="36" t="s">
        <v>72</v>
      </c>
      <c r="S98" s="98" t="str">
        <f>+Retribuciones!O33</f>
        <v>Secretario/a IES, CEO, EA. Centro Tipo D (hasta 580 Alumnos)</v>
      </c>
      <c r="T98" s="75">
        <f>+Retribuciones!P33</f>
        <v>203.13</v>
      </c>
    </row>
    <row r="99" spans="13:20" ht="12.95" hidden="1" customHeight="1" x14ac:dyDescent="0.25">
      <c r="N99" s="1">
        <v>31</v>
      </c>
      <c r="P99" s="36" t="s">
        <v>73</v>
      </c>
      <c r="S99" s="98" t="str">
        <f>+Retribuciones!O34</f>
        <v>Vicedirector/ra IES, CEO, EA. Centro Tipo A (1650 o más Alumnos)</v>
      </c>
      <c r="T99" s="75">
        <f>+Retribuciones!P34</f>
        <v>341.27</v>
      </c>
    </row>
    <row r="100" spans="13:20" ht="12.95" hidden="1" customHeight="1" x14ac:dyDescent="0.25">
      <c r="N100" s="1">
        <v>32</v>
      </c>
      <c r="P100" s="36" t="s">
        <v>74</v>
      </c>
      <c r="S100" s="98" t="str">
        <f>+Retribuciones!O35</f>
        <v>Vicedirector/ra IES, CEO, EA. Centro Tipo B (de 901 a 1649 Alumnos)</v>
      </c>
      <c r="T100" s="75">
        <f>+Retribuciones!P35</f>
        <v>327.08999999999997</v>
      </c>
    </row>
    <row r="101" spans="13:20" ht="12.95" hidden="1" customHeight="1" x14ac:dyDescent="0.25">
      <c r="N101" s="1">
        <v>33</v>
      </c>
      <c r="P101" s="36" t="s">
        <v>245</v>
      </c>
      <c r="S101" s="98" t="str">
        <f>+Retribuciones!O36</f>
        <v>Vicedirector/ra IES, CEO, EA. Centro Tipo C (de 581 a 900 Alumnos)</v>
      </c>
      <c r="T101" s="75">
        <f>+Retribuciones!P36</f>
        <v>253.88</v>
      </c>
    </row>
    <row r="102" spans="13:20" ht="12.95" hidden="1" customHeight="1" x14ac:dyDescent="0.25">
      <c r="N102" s="1">
        <v>34</v>
      </c>
      <c r="P102" s="36" t="s">
        <v>193</v>
      </c>
      <c r="S102" s="98" t="str">
        <f>+Retribuciones!O37</f>
        <v>Vicedirector/ra IES, CEO, EA. Centro Tipo D (hasta 580 Alumnos)</v>
      </c>
      <c r="T102" s="75">
        <f>+Retribuciones!P37</f>
        <v>203.13</v>
      </c>
    </row>
    <row r="103" spans="13:20" ht="12.95" hidden="1" customHeight="1" x14ac:dyDescent="0.25">
      <c r="N103" s="1">
        <v>35</v>
      </c>
      <c r="P103" s="36" t="s">
        <v>194</v>
      </c>
      <c r="S103" s="98" t="str">
        <f>+Retribuciones!O38</f>
        <v>Jefe Estudios Adjunto IES, CEO, EA. Centro Tipo A (1650 o más Alumnos)</v>
      </c>
      <c r="T103" s="75">
        <f>+Retribuciones!P38</f>
        <v>170.65</v>
      </c>
    </row>
    <row r="104" spans="13:20" ht="12.95" hidden="1" customHeight="1" x14ac:dyDescent="0.25">
      <c r="N104" s="1">
        <v>36</v>
      </c>
      <c r="S104" s="99" t="str">
        <f>+Retribuciones!O39</f>
        <v>Jefe Estudios Adjunto IES, CEO, EA. Centro Tipo B (de 901 a 1649 Alumnos)</v>
      </c>
      <c r="T104" s="75">
        <f>+Retribuciones!P39</f>
        <v>163.57</v>
      </c>
    </row>
    <row r="105" spans="13:20" ht="12.95" hidden="1" customHeight="1" x14ac:dyDescent="0.25">
      <c r="N105" s="1">
        <v>37</v>
      </c>
      <c r="S105" s="99" t="str">
        <f>+Retribuciones!O40</f>
        <v>Jefe Estudios Adjunto IES, CEO, EA. Centro Tipo C (de 581 a 900 Alumnos)</v>
      </c>
      <c r="T105" s="75">
        <f>+Retribuciones!P40</f>
        <v>126.98</v>
      </c>
    </row>
    <row r="106" spans="13:20" ht="12.95" hidden="1" customHeight="1" x14ac:dyDescent="0.25">
      <c r="N106" s="1">
        <v>38</v>
      </c>
      <c r="S106" s="99" t="str">
        <f>+Retribuciones!O41</f>
        <v>Jefe Estudios Adjunto IES, CEO, EA. Centro Tipo D (hasta 580 Alumnos)</v>
      </c>
      <c r="T106" s="75">
        <f>+Retribuciones!P41</f>
        <v>101.61</v>
      </c>
    </row>
    <row r="107" spans="13:20" ht="12.95" hidden="1" customHeight="1" x14ac:dyDescent="0.25">
      <c r="N107" s="1">
        <v>39</v>
      </c>
      <c r="S107" s="13" t="str">
        <f>+Retribuciones!O42</f>
        <v>Director de Centros de Profesores</v>
      </c>
      <c r="T107" s="75">
        <f>+Retribuciones!P42</f>
        <v>363.85</v>
      </c>
    </row>
    <row r="108" spans="13:20" ht="12.95" hidden="1" customHeight="1" x14ac:dyDescent="0.25">
      <c r="N108" s="1">
        <v>40</v>
      </c>
      <c r="S108" s="13" t="str">
        <f>+Retribuciones!O43</f>
        <v>Director de Residencia Escolar Permanente</v>
      </c>
      <c r="T108" s="75">
        <f>+Retribuciones!P43</f>
        <v>337.67</v>
      </c>
    </row>
    <row r="109" spans="13:20" ht="12.95" hidden="1" customHeight="1" x14ac:dyDescent="0.25">
      <c r="N109" s="1">
        <v>41</v>
      </c>
      <c r="S109" s="12" t="str">
        <f>+Retribuciones!O44</f>
        <v>Director de Residencia Escolar</v>
      </c>
      <c r="T109" s="75">
        <f>+Retribuciones!P44</f>
        <v>175.77</v>
      </c>
    </row>
    <row r="110" spans="13:20" ht="12.95" hidden="1" customHeight="1" x14ac:dyDescent="0.25">
      <c r="N110" s="1">
        <v>42</v>
      </c>
      <c r="S110" s="12" t="str">
        <f>+Retribuciones!O45</f>
        <v>Coordinador EOEP</v>
      </c>
      <c r="T110" s="75">
        <f>+Retribuciones!P45</f>
        <v>105.86</v>
      </c>
    </row>
    <row r="111" spans="13:20" ht="12.95" hidden="1" customHeight="1" x14ac:dyDescent="0.25">
      <c r="M111" s="28"/>
      <c r="N111" s="1">
        <v>43</v>
      </c>
      <c r="S111" s="38" t="str">
        <f>+Retribuciones!O48</f>
        <v>Otros complementos: Jefe departamento, Encargado comedor, Maestros en Residencia, otros</v>
      </c>
    </row>
    <row r="112" spans="13:20" ht="12.95" hidden="1" customHeight="1" x14ac:dyDescent="0.25">
      <c r="N112" s="1">
        <v>44</v>
      </c>
      <c r="S112" s="13" t="str">
        <f>+Retribuciones!O49</f>
        <v>Jefe de Departamento</v>
      </c>
      <c r="T112" s="75">
        <f>+Retribuciones!P49</f>
        <v>70.89</v>
      </c>
    </row>
    <row r="113" spans="14:20" ht="12.95" hidden="1" customHeight="1" x14ac:dyDescent="0.25">
      <c r="N113" s="1">
        <v>45</v>
      </c>
      <c r="S113" s="12" t="str">
        <f>+Retribuciones!O46</f>
        <v>Coordinador de Servicios Centrales. Tipo A1 (A)</v>
      </c>
      <c r="T113" s="75">
        <f>+Retribuciones!P46</f>
        <v>412.01</v>
      </c>
    </row>
    <row r="114" spans="14:20" ht="12.95" hidden="1" customHeight="1" x14ac:dyDescent="0.25">
      <c r="N114" s="1">
        <v>46</v>
      </c>
      <c r="S114" s="12" t="str">
        <f>+Retribuciones!O47</f>
        <v>Coordinador de Servicios Centrales. Tipo A2 (B)</v>
      </c>
      <c r="T114" s="75">
        <f>+Retribuciones!P47</f>
        <v>234.05</v>
      </c>
    </row>
    <row r="115" spans="14:20" ht="12.95" hidden="1" customHeight="1" x14ac:dyDescent="0.25">
      <c r="N115" s="1">
        <v>47</v>
      </c>
      <c r="S115" s="13" t="str">
        <f>+Retribuciones!O50</f>
        <v>Encargado/a Comedor Gestión Directa. Módulo Hasta 100 comensales.</v>
      </c>
      <c r="T115" s="75">
        <f>+Retribuciones!P50</f>
        <v>139.4</v>
      </c>
    </row>
    <row r="116" spans="14:20" ht="12.95" hidden="1" customHeight="1" x14ac:dyDescent="0.25">
      <c r="N116" s="1">
        <v>48</v>
      </c>
      <c r="S116" s="13" t="str">
        <f>+Retribuciones!O51</f>
        <v>Encargado/a Comedor Gestión Directa. Módulo De 101 a 300 comensales.</v>
      </c>
      <c r="T116" s="75">
        <f>+Retribuciones!P51</f>
        <v>147</v>
      </c>
    </row>
    <row r="117" spans="14:20" ht="12.95" hidden="1" customHeight="1" x14ac:dyDescent="0.25">
      <c r="N117" s="1">
        <v>49</v>
      </c>
      <c r="S117" s="13" t="str">
        <f>+Retribuciones!O52</f>
        <v>Encargado/a Comedor Gestión Directa. Módulo Más de 300 comensales.</v>
      </c>
      <c r="T117" s="75">
        <f>+Retribuciones!P52</f>
        <v>157.80000000000001</v>
      </c>
    </row>
    <row r="118" spans="14:20" ht="12.95" hidden="1" customHeight="1" x14ac:dyDescent="0.25">
      <c r="N118" s="1">
        <v>50</v>
      </c>
      <c r="S118" s="13" t="str">
        <f>+Retribuciones!O53</f>
        <v>Encargado/a Comedor Gestión Contratada. Módulo Hasta 100 comensales.</v>
      </c>
      <c r="T118" s="75">
        <f>+Retribuciones!P53</f>
        <v>121.7</v>
      </c>
    </row>
    <row r="119" spans="14:20" ht="12.95" hidden="1" customHeight="1" x14ac:dyDescent="0.25">
      <c r="N119" s="1">
        <v>51</v>
      </c>
      <c r="S119" s="12" t="str">
        <f>+Retribuciones!O54</f>
        <v>Encargado/a Comedor Gestión Contratada. Módulo De 101 a 300 comensales.</v>
      </c>
      <c r="T119" s="75">
        <f>+Retribuciones!P54</f>
        <v>128.5</v>
      </c>
    </row>
    <row r="120" spans="14:20" ht="12.95" hidden="1" customHeight="1" x14ac:dyDescent="0.25">
      <c r="N120" s="1">
        <v>52</v>
      </c>
      <c r="S120" s="12" t="str">
        <f>+Retribuciones!O55</f>
        <v>Encargado/a Comedor Gestión Contratada. Módulo Más de 300 comensales.</v>
      </c>
      <c r="T120" s="75">
        <f>+Retribuciones!P55</f>
        <v>135.80000000000001</v>
      </c>
    </row>
    <row r="121" spans="14:20" ht="12.95" hidden="1" customHeight="1" x14ac:dyDescent="0.25">
      <c r="N121" s="1">
        <v>53</v>
      </c>
      <c r="S121" s="12" t="str">
        <f>+Retribuciones!O56</f>
        <v>Maestros de Ocio con Residencia Permanente</v>
      </c>
      <c r="T121" s="75">
        <f>+Retribuciones!P56</f>
        <v>152.49</v>
      </c>
    </row>
    <row r="122" spans="14:20" ht="12.95" hidden="1" customHeight="1" x14ac:dyDescent="0.25">
      <c r="N122" s="1">
        <v>54</v>
      </c>
      <c r="S122" s="12" t="str">
        <f>+Retribuciones!O57</f>
        <v>Hora Lectiva Complementaria, Refuerzo Educativo. Grupo A1</v>
      </c>
      <c r="T122" s="75">
        <f>+Retribuciones!P57</f>
        <v>20.84</v>
      </c>
    </row>
    <row r="123" spans="14:20" ht="12.95" hidden="1" customHeight="1" x14ac:dyDescent="0.25">
      <c r="N123" s="1">
        <v>55</v>
      </c>
      <c r="S123" s="12" t="str">
        <f>+Retribuciones!O58</f>
        <v>Hora Lectiva Complementaria, Refuerzo Educativo. Grupo A2</v>
      </c>
      <c r="T123" s="75">
        <f>+Retribuciones!P58</f>
        <v>17.73</v>
      </c>
    </row>
    <row r="124" spans="14:20" ht="12.95" hidden="1" customHeight="1" x14ac:dyDescent="0.25">
      <c r="N124" s="1">
        <v>56</v>
      </c>
      <c r="S124" s="13" t="str">
        <f>+Retribuciones!O59</f>
        <v>Maestros de Primero y Segundo de Enseñanza Secundaria Obligatoria</v>
      </c>
      <c r="T124" s="75">
        <f>+Retribuciones!P59</f>
        <v>81.73</v>
      </c>
    </row>
    <row r="125" spans="14:20" ht="12.95" hidden="1" customHeight="1" x14ac:dyDescent="0.25">
      <c r="N125" s="1">
        <v>57</v>
      </c>
      <c r="S125" s="101" t="str">
        <f>+Retribuciones!O60</f>
        <v>Otros complementos: Tutoría, AICLE/PILE, Coordinación</v>
      </c>
    </row>
    <row r="126" spans="14:20" ht="12.95" hidden="1" customHeight="1" x14ac:dyDescent="0.25">
      <c r="N126" s="1">
        <v>58</v>
      </c>
      <c r="S126" s="13" t="str">
        <f>+Retribuciones!O61</f>
        <v xml:space="preserve">Coordinador/a Formación en Centros de Trabajo </v>
      </c>
      <c r="T126" s="75">
        <f>+Retribuciones!P61</f>
        <v>70.89</v>
      </c>
    </row>
    <row r="127" spans="14:20" ht="12.95" hidden="1" customHeight="1" x14ac:dyDescent="0.25">
      <c r="N127" s="1">
        <v>59</v>
      </c>
      <c r="S127" s="13" t="str">
        <f>+Retribuciones!O62</f>
        <v>Tutoría</v>
      </c>
      <c r="T127" s="75">
        <f>+Retribuciones!P62</f>
        <v>35</v>
      </c>
    </row>
    <row r="128" spans="14:20" ht="12.95" hidden="1" customHeight="1" x14ac:dyDescent="0.25">
      <c r="N128" s="1">
        <v>60</v>
      </c>
      <c r="S128" s="13" t="str">
        <f>+Retribuciones!O63</f>
        <v>Impartición docencia en lengua extranjera. Maestros de Inglés sin B2, ni C1, ni C2</v>
      </c>
      <c r="T128" s="75">
        <f>+Retribuciones!P63</f>
        <v>35</v>
      </c>
    </row>
    <row r="129" spans="14:31" ht="12.95" hidden="1" customHeight="1" x14ac:dyDescent="0.25">
      <c r="N129" s="1">
        <v>61</v>
      </c>
      <c r="S129" s="13" t="str">
        <f>+Retribuciones!O64</f>
        <v>Impartición docencia en lengua extranjera. Profesorado con B2</v>
      </c>
      <c r="T129" s="75">
        <f>+Retribuciones!P64</f>
        <v>35</v>
      </c>
    </row>
    <row r="130" spans="14:31" ht="12.95" hidden="1" customHeight="1" x14ac:dyDescent="0.25">
      <c r="N130" s="1">
        <v>62</v>
      </c>
      <c r="S130" s="13" t="str">
        <f>+Retribuciones!O65</f>
        <v>Impartición docencia en lengua extranjera. Profesorado con C1 o C2</v>
      </c>
      <c r="T130" s="75">
        <f>+Retribuciones!P65</f>
        <v>45</v>
      </c>
    </row>
    <row r="131" spans="14:31" ht="12.95" hidden="1" customHeight="1" x14ac:dyDescent="0.25">
      <c r="N131" s="1">
        <v>63</v>
      </c>
      <c r="S131" s="13" t="str">
        <f>+Retribuciones!O66</f>
        <v>Coordinación impartición docencia en lengua extranjera. Nivel B2</v>
      </c>
      <c r="T131" s="75">
        <f>+Retribuciones!P66</f>
        <v>45</v>
      </c>
    </row>
    <row r="132" spans="14:31" ht="12.95" hidden="1" customHeight="1" x14ac:dyDescent="0.25">
      <c r="N132" s="1">
        <v>64</v>
      </c>
      <c r="S132" s="13" t="str">
        <f>+Retribuciones!O67</f>
        <v>Coordinación impartición docencia en lengua extranjera. Nivel C1 o C2</v>
      </c>
      <c r="T132" s="75">
        <f>+Retribuciones!P67</f>
        <v>55</v>
      </c>
    </row>
    <row r="133" spans="14:31" ht="12.95" hidden="1" customHeight="1" x14ac:dyDescent="0.25">
      <c r="N133" s="1">
        <v>65</v>
      </c>
      <c r="S133" s="13" t="str">
        <f>+Retribuciones!O68</f>
        <v>Coordinación en convivencia</v>
      </c>
      <c r="T133" s="75">
        <f>+Retribuciones!P68</f>
        <v>30</v>
      </c>
    </row>
    <row r="134" spans="14:31" ht="12.95" hidden="1" customHeight="1" x14ac:dyDescent="0.25">
      <c r="N134" s="1">
        <v>66</v>
      </c>
      <c r="S134" s="13" t="str">
        <f>+Retribuciones!O69</f>
        <v>Coordinación en prevención de riesgos laborales</v>
      </c>
      <c r="T134" s="75">
        <f>+Retribuciones!P69</f>
        <v>30</v>
      </c>
    </row>
    <row r="135" spans="14:31" ht="12.95" hidden="1" customHeight="1" x14ac:dyDescent="0.25">
      <c r="N135" s="1">
        <v>67</v>
      </c>
      <c r="Q135" s="36"/>
      <c r="R135" s="36"/>
      <c r="S135" s="175"/>
      <c r="T135" s="175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</row>
    <row r="136" spans="14:31" ht="12.95" hidden="1" customHeight="1" x14ac:dyDescent="0.25">
      <c r="N136" s="1">
        <v>68</v>
      </c>
      <c r="S136" s="175"/>
      <c r="T136" s="175"/>
    </row>
    <row r="137" spans="14:31" ht="12.95" hidden="1" customHeight="1" x14ac:dyDescent="0.25">
      <c r="N137" s="1">
        <v>69</v>
      </c>
      <c r="S137" s="101" t="s">
        <v>229</v>
      </c>
    </row>
    <row r="138" spans="14:31" ht="12.95" hidden="1" customHeight="1" x14ac:dyDescent="0.25">
      <c r="N138" s="1">
        <v>70</v>
      </c>
      <c r="S138" s="13" t="str">
        <f>+Retribuciones!O63</f>
        <v>Impartición docencia en lengua extranjera. Maestros de Inglés sin B2, ni C1, ni C2</v>
      </c>
      <c r="T138" s="75">
        <f>+Retribuciones!P63</f>
        <v>35</v>
      </c>
    </row>
    <row r="139" spans="14:31" ht="12.95" hidden="1" customHeight="1" x14ac:dyDescent="0.25">
      <c r="N139" s="1">
        <v>71</v>
      </c>
      <c r="S139" s="13" t="str">
        <f>+Retribuciones!O64</f>
        <v>Impartición docencia en lengua extranjera. Profesorado con B2</v>
      </c>
      <c r="T139" s="75">
        <f>+Retribuciones!P64</f>
        <v>35</v>
      </c>
    </row>
    <row r="140" spans="14:31" ht="12.95" hidden="1" customHeight="1" x14ac:dyDescent="0.25">
      <c r="N140" s="1">
        <v>72</v>
      </c>
      <c r="S140" s="13" t="str">
        <f>+Retribuciones!O65</f>
        <v>Impartición docencia en lengua extranjera. Profesorado con C1 o C2</v>
      </c>
      <c r="T140" s="75">
        <f>+Retribuciones!P65</f>
        <v>45</v>
      </c>
    </row>
    <row r="141" spans="14:31" ht="12.95" hidden="1" customHeight="1" x14ac:dyDescent="0.25">
      <c r="S141" s="13" t="str">
        <f>+Retribuciones!O66</f>
        <v>Coordinación impartición docencia en lengua extranjera. Nivel B2</v>
      </c>
      <c r="T141" s="75">
        <f>+Retribuciones!P66</f>
        <v>45</v>
      </c>
    </row>
    <row r="142" spans="14:31" ht="12.95" hidden="1" customHeight="1" x14ac:dyDescent="0.25">
      <c r="S142" s="13" t="str">
        <f>+Retribuciones!O67</f>
        <v>Coordinación impartición docencia en lengua extranjera. Nivel C1 o C2</v>
      </c>
      <c r="T142" s="75">
        <f>+Retribuciones!P67</f>
        <v>55</v>
      </c>
    </row>
    <row r="143" spans="14:31" ht="12.95" hidden="1" customHeight="1" x14ac:dyDescent="0.25">
      <c r="S143" s="13" t="str">
        <f>+Retribuciones!O68</f>
        <v>Coordinación en convivencia</v>
      </c>
      <c r="T143" s="75">
        <f>+Retribuciones!P68</f>
        <v>30</v>
      </c>
    </row>
    <row r="144" spans="14:31" ht="12.95" hidden="1" customHeight="1" x14ac:dyDescent="0.25">
      <c r="S144" s="13" t="str">
        <f>+Retribuciones!O69</f>
        <v>Coordinación en prevención de riesgos laborales</v>
      </c>
      <c r="T144" s="75">
        <f>+Retribuciones!P69</f>
        <v>30</v>
      </c>
    </row>
    <row r="145" spans="6:20" ht="12.95" hidden="1" customHeight="1" x14ac:dyDescent="0.25">
      <c r="S145" s="56"/>
      <c r="T145" s="56"/>
    </row>
    <row r="146" spans="6:20" ht="12.95" hidden="1" customHeight="1" x14ac:dyDescent="0.25">
      <c r="S146" s="56"/>
      <c r="T146" s="56"/>
    </row>
    <row r="160" spans="6:20" ht="12.95" hidden="1" customHeight="1" x14ac:dyDescent="0.25">
      <c r="F160" s="1">
        <v>333</v>
      </c>
    </row>
  </sheetData>
  <sheetProtection algorithmName="SHA-512" hashValue="WXH+DAtwUSAdwXUBT6bmCj+2/4/ZkHScus7a80YLkmEi7UoX0fwgkqWfsx8/rp+wwqmzu2ow9CKnZ++SZg0Q7Q==" saltValue="5sFWjnbRIfeT1EnKDa80Dw==" spinCount="100000" sheet="1" selectLockedCells="1"/>
  <mergeCells count="30">
    <mergeCell ref="B64:D64"/>
    <mergeCell ref="B40:C40"/>
    <mergeCell ref="B41:C41"/>
    <mergeCell ref="C7:D7"/>
    <mergeCell ref="C9:D9"/>
    <mergeCell ref="C10:D10"/>
    <mergeCell ref="C13:D13"/>
    <mergeCell ref="C16:D16"/>
    <mergeCell ref="C17:D17"/>
    <mergeCell ref="B44:C44"/>
    <mergeCell ref="B60:C60"/>
    <mergeCell ref="B42:C42"/>
    <mergeCell ref="B43:C43"/>
    <mergeCell ref="C8:D8"/>
    <mergeCell ref="C47:G47"/>
    <mergeCell ref="F5:G5"/>
    <mergeCell ref="B59:C59"/>
    <mergeCell ref="C6:D6"/>
    <mergeCell ref="B1:E1"/>
    <mergeCell ref="B3:E3"/>
    <mergeCell ref="B2:E2"/>
    <mergeCell ref="C5:E5"/>
    <mergeCell ref="C14:D14"/>
    <mergeCell ref="C15:D15"/>
    <mergeCell ref="D19:G19"/>
    <mergeCell ref="D20:E20"/>
    <mergeCell ref="F20:G20"/>
    <mergeCell ref="C11:D11"/>
    <mergeCell ref="C12:D12"/>
    <mergeCell ref="E6:E10"/>
  </mergeCells>
  <dataValidations disablePrompts="1" xWindow="874" yWindow="233" count="3">
    <dataValidation type="list" allowBlank="1" showInputMessage="1" showErrorMessage="1" promptTitle="Nómina con Paga Extra" prompt=" " sqref="C65545" xr:uid="{00000000-0002-0000-0000-000000000000}">
      <formula1>#REF!</formula1>
    </dataValidation>
    <dataValidation type="list" allowBlank="1" showInputMessage="1" showErrorMessage="1" promptTitle="Destino en Isla No Capitalina" prompt=" " sqref="C65543" xr:uid="{00000000-0002-0000-0000-000001000000}">
      <formula1>#REF!</formula1>
    </dataValidation>
    <dataValidation type="list" allowBlank="1" showErrorMessage="1" promptTitle="DESTINO EN ISLA NO CAPITALINA" prompt="-Si se tienen destino en una isla capitalina, seleccionar = N_x000a_-Si se tiene destino en una isla no capitalina, seleccionar = S" sqref="C13" xr:uid="{00000000-0002-0000-0000-000002000000}">
      <formula1>$M$71:$M$72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36"/>
  <sheetViews>
    <sheetView topLeftCell="A2" workbookViewId="0">
      <selection activeCell="B31" sqref="B31"/>
    </sheetView>
  </sheetViews>
  <sheetFormatPr baseColWidth="10" defaultRowHeight="15" x14ac:dyDescent="0.25"/>
  <cols>
    <col min="1" max="1" width="82.85546875" style="38" customWidth="1"/>
    <col min="2" max="2" width="9.140625" style="38" bestFit="1" customWidth="1"/>
    <col min="3" max="3" width="11.85546875" style="38" hidden="1" customWidth="1"/>
    <col min="4" max="4" width="1.85546875" style="38" hidden="1" customWidth="1"/>
    <col min="5" max="5" width="26.5703125" style="38" bestFit="1" customWidth="1"/>
    <col min="6" max="6" width="12.140625" style="38" hidden="1" customWidth="1"/>
    <col min="7" max="7" width="10.7109375" style="38" hidden="1" customWidth="1"/>
    <col min="8" max="8" width="49.85546875" style="38" hidden="1" customWidth="1"/>
    <col min="9" max="9" width="11.42578125" style="38" hidden="1" customWidth="1"/>
    <col min="10" max="16384" width="11.42578125" style="38"/>
  </cols>
  <sheetData>
    <row r="1" spans="1:9" ht="15.75" x14ac:dyDescent="0.25">
      <c r="A1" s="326" t="s">
        <v>85</v>
      </c>
      <c r="B1" s="327"/>
      <c r="C1" s="327"/>
      <c r="D1" s="40"/>
      <c r="H1" s="39" t="s">
        <v>91</v>
      </c>
    </row>
    <row r="2" spans="1:9" ht="15.75" x14ac:dyDescent="0.25">
      <c r="A2" s="328" t="s">
        <v>86</v>
      </c>
      <c r="B2" s="328"/>
      <c r="C2" s="328"/>
      <c r="D2" s="40"/>
      <c r="H2" s="39" t="s">
        <v>123</v>
      </c>
    </row>
    <row r="3" spans="1:9" ht="5.25" customHeight="1" x14ac:dyDescent="0.25">
      <c r="A3" s="40"/>
      <c r="B3" s="40"/>
      <c r="C3" s="40"/>
      <c r="D3" s="40"/>
      <c r="H3" s="38">
        <v>0</v>
      </c>
    </row>
    <row r="4" spans="1:9" x14ac:dyDescent="0.25">
      <c r="A4" s="323" t="s">
        <v>87</v>
      </c>
      <c r="B4" s="323"/>
      <c r="C4" s="41" t="s">
        <v>88</v>
      </c>
      <c r="D4" s="40"/>
      <c r="H4" s="38">
        <v>1</v>
      </c>
    </row>
    <row r="5" spans="1:9" x14ac:dyDescent="0.25">
      <c r="A5" s="42" t="s">
        <v>89</v>
      </c>
      <c r="B5" s="43"/>
      <c r="C5" s="44">
        <v>5550</v>
      </c>
      <c r="D5" s="40"/>
      <c r="H5" s="38">
        <v>2</v>
      </c>
    </row>
    <row r="6" spans="1:9" x14ac:dyDescent="0.25">
      <c r="A6" s="324" t="s">
        <v>155</v>
      </c>
      <c r="B6" s="325"/>
      <c r="C6" s="44">
        <f>IF(A6=H17,I17,IF(A6=H18,I18,IF(A6=H19,I19+I18,0)))</f>
        <v>0</v>
      </c>
      <c r="D6" s="40"/>
      <c r="E6" s="94" t="s">
        <v>158</v>
      </c>
      <c r="F6" s="39"/>
      <c r="G6" s="39"/>
      <c r="H6" s="38">
        <v>3</v>
      </c>
    </row>
    <row r="7" spans="1:9" x14ac:dyDescent="0.25">
      <c r="A7" s="324" t="s">
        <v>154</v>
      </c>
      <c r="B7" s="325"/>
      <c r="C7" s="40"/>
      <c r="D7" s="40"/>
      <c r="E7" s="94" t="s">
        <v>158</v>
      </c>
      <c r="F7" s="39"/>
      <c r="G7" s="39"/>
      <c r="H7" s="38">
        <v>4</v>
      </c>
    </row>
    <row r="8" spans="1:9" ht="7.5" customHeight="1" x14ac:dyDescent="0.25">
      <c r="A8" s="40"/>
      <c r="B8" s="40"/>
      <c r="C8" s="40"/>
      <c r="D8" s="40"/>
      <c r="E8" s="39"/>
      <c r="F8" s="39"/>
      <c r="G8" s="39"/>
      <c r="H8" s="38">
        <v>5</v>
      </c>
    </row>
    <row r="9" spans="1:9" x14ac:dyDescent="0.25">
      <c r="A9" s="323" t="s">
        <v>93</v>
      </c>
      <c r="B9" s="323"/>
      <c r="C9" s="40"/>
      <c r="D9" s="40"/>
      <c r="E9" s="39"/>
      <c r="F9" s="39"/>
      <c r="G9" s="39"/>
      <c r="H9" s="38">
        <v>6</v>
      </c>
    </row>
    <row r="10" spans="1:9" x14ac:dyDescent="0.25">
      <c r="A10" s="45" t="s">
        <v>94</v>
      </c>
      <c r="B10" s="46" t="s">
        <v>91</v>
      </c>
      <c r="C10" s="40"/>
      <c r="D10" s="40"/>
      <c r="E10" s="94" t="s">
        <v>158</v>
      </c>
      <c r="F10" s="39"/>
      <c r="G10" s="39"/>
      <c r="H10" s="38">
        <v>7</v>
      </c>
    </row>
    <row r="11" spans="1:9" x14ac:dyDescent="0.25">
      <c r="A11" s="45" t="s">
        <v>95</v>
      </c>
      <c r="B11" s="47">
        <v>0</v>
      </c>
      <c r="C11" s="44">
        <f>IF(B10="si",IF(B11=1,2400,IF(B11=2,2400+2700,IF(B11=3,2400+2700+4000,IF(B11=4,2400+2700+4000+4500,IF(B11&gt;4,2400+2700+4000+4500+((B11-4)*4500),0))))),(IF(B11=1,2400,IF(B11=2,2400+2700,IF(B11=3,2400+2700+4000,IF(B11=4,2400+2700+4000+4500,IF(B11&gt;4,2400+2700+4000+4500+((B11-4)*4500),0))))))/2)</f>
        <v>0</v>
      </c>
      <c r="E11" s="94" t="s">
        <v>158</v>
      </c>
      <c r="F11" s="39"/>
      <c r="G11" s="39"/>
      <c r="H11" s="38">
        <v>8</v>
      </c>
    </row>
    <row r="12" spans="1:9" x14ac:dyDescent="0.25">
      <c r="A12" s="45" t="s">
        <v>96</v>
      </c>
      <c r="B12" s="47">
        <v>0</v>
      </c>
      <c r="C12" s="63">
        <f>IF(B10="SI",+B12*2800,(+B12*2800)/2)</f>
        <v>0</v>
      </c>
      <c r="D12" s="40"/>
      <c r="E12" s="94" t="s">
        <v>158</v>
      </c>
      <c r="F12" s="39"/>
      <c r="G12" s="39"/>
    </row>
    <row r="13" spans="1:9" x14ac:dyDescent="0.25">
      <c r="A13" s="48" t="s">
        <v>97</v>
      </c>
      <c r="B13" s="47">
        <v>0</v>
      </c>
      <c r="C13" s="44">
        <f>IF(B10="SI",(B13*3000),(B13*3000)/2)</f>
        <v>0</v>
      </c>
      <c r="D13" s="40"/>
      <c r="E13" s="94" t="s">
        <v>158</v>
      </c>
      <c r="F13" s="39"/>
      <c r="G13" s="39"/>
      <c r="H13" s="39" t="s">
        <v>154</v>
      </c>
      <c r="I13" s="38">
        <v>0</v>
      </c>
    </row>
    <row r="14" spans="1:9" x14ac:dyDescent="0.25">
      <c r="A14" s="48" t="s">
        <v>98</v>
      </c>
      <c r="B14" s="47">
        <v>0</v>
      </c>
      <c r="C14" s="44">
        <f>IF(B10="SI",(B14*9000),(B14*9000)/2)</f>
        <v>0</v>
      </c>
      <c r="D14" s="40"/>
      <c r="E14" s="94" t="s">
        <v>158</v>
      </c>
      <c r="F14" s="39"/>
      <c r="G14" s="39"/>
      <c r="H14" s="39" t="s">
        <v>90</v>
      </c>
      <c r="I14" s="38">
        <v>3000</v>
      </c>
    </row>
    <row r="15" spans="1:9" x14ac:dyDescent="0.25">
      <c r="A15" s="49"/>
      <c r="B15" s="49"/>
      <c r="C15" s="49"/>
      <c r="D15" s="40"/>
      <c r="E15" s="39"/>
      <c r="F15" s="39"/>
      <c r="G15" s="39"/>
      <c r="H15" s="38" t="s">
        <v>92</v>
      </c>
      <c r="I15" s="38">
        <v>9000</v>
      </c>
    </row>
    <row r="16" spans="1:9" x14ac:dyDescent="0.25">
      <c r="A16" s="323" t="s">
        <v>99</v>
      </c>
      <c r="B16" s="323"/>
      <c r="C16" s="49"/>
      <c r="D16" s="40"/>
      <c r="E16" s="39"/>
      <c r="F16" s="39"/>
      <c r="G16" s="39"/>
      <c r="H16" s="39"/>
    </row>
    <row r="17" spans="1:9" x14ac:dyDescent="0.25">
      <c r="A17" s="50" t="s">
        <v>100</v>
      </c>
      <c r="B17" s="47">
        <v>1</v>
      </c>
      <c r="C17" s="49"/>
      <c r="D17" s="40"/>
      <c r="E17" s="94" t="s">
        <v>158</v>
      </c>
      <c r="F17" s="39"/>
      <c r="G17" s="39"/>
      <c r="H17" s="39" t="s">
        <v>155</v>
      </c>
      <c r="I17" s="38">
        <v>0</v>
      </c>
    </row>
    <row r="18" spans="1:9" x14ac:dyDescent="0.25">
      <c r="A18" s="45" t="s">
        <v>101</v>
      </c>
      <c r="B18" s="47">
        <v>0</v>
      </c>
      <c r="C18" s="329">
        <f>((+B18*1150)+(B19*(1150+1400)))/B17</f>
        <v>0</v>
      </c>
      <c r="D18" s="40"/>
      <c r="E18" s="94" t="s">
        <v>158</v>
      </c>
      <c r="F18" s="39"/>
      <c r="G18" s="39"/>
      <c r="H18" s="39" t="s">
        <v>157</v>
      </c>
      <c r="I18" s="38">
        <v>1150</v>
      </c>
    </row>
    <row r="19" spans="1:9" x14ac:dyDescent="0.25">
      <c r="A19" s="45" t="s">
        <v>102</v>
      </c>
      <c r="B19" s="47">
        <v>0</v>
      </c>
      <c r="C19" s="329"/>
      <c r="D19" s="40"/>
      <c r="E19" s="94" t="s">
        <v>158</v>
      </c>
      <c r="F19" s="39"/>
      <c r="G19" s="39"/>
      <c r="H19" s="38" t="s">
        <v>156</v>
      </c>
      <c r="I19" s="38">
        <v>1400</v>
      </c>
    </row>
    <row r="20" spans="1:9" x14ac:dyDescent="0.25">
      <c r="A20" s="48" t="s">
        <v>103</v>
      </c>
      <c r="B20" s="47">
        <v>0</v>
      </c>
      <c r="C20" s="44">
        <f>(B20*3000)/B17</f>
        <v>0</v>
      </c>
      <c r="D20" s="40"/>
      <c r="E20" s="94" t="s">
        <v>158</v>
      </c>
      <c r="F20" s="39"/>
      <c r="G20" s="39"/>
    </row>
    <row r="21" spans="1:9" x14ac:dyDescent="0.25">
      <c r="A21" s="48" t="s">
        <v>104</v>
      </c>
      <c r="B21" s="47">
        <v>0</v>
      </c>
      <c r="C21" s="44">
        <f>+(B21*9000)/B17</f>
        <v>0</v>
      </c>
      <c r="D21" s="40"/>
      <c r="E21" s="94" t="s">
        <v>158</v>
      </c>
      <c r="F21" s="39"/>
      <c r="G21" s="39"/>
    </row>
    <row r="22" spans="1:9" ht="5.25" customHeight="1" x14ac:dyDescent="0.25">
      <c r="A22" s="40"/>
      <c r="B22" s="40"/>
      <c r="C22" s="40"/>
      <c r="D22" s="40"/>
      <c r="E22" s="39"/>
      <c r="F22" s="39"/>
      <c r="G22" s="39"/>
    </row>
    <row r="23" spans="1:9" x14ac:dyDescent="0.25">
      <c r="A23" s="323" t="s">
        <v>105</v>
      </c>
      <c r="B23" s="323"/>
      <c r="C23" s="40"/>
      <c r="D23" s="40"/>
      <c r="E23" s="39"/>
      <c r="F23" s="39"/>
      <c r="G23" s="39"/>
    </row>
    <row r="24" spans="1:9" x14ac:dyDescent="0.25">
      <c r="A24" s="51" t="s">
        <v>106</v>
      </c>
      <c r="B24" s="52">
        <f>+Nóminab!D59</f>
        <v>37106.819999999992</v>
      </c>
      <c r="C24" s="40"/>
      <c r="D24" s="40"/>
      <c r="E24" s="39"/>
      <c r="F24" s="39"/>
      <c r="G24" s="39"/>
    </row>
    <row r="25" spans="1:9" ht="4.5" customHeight="1" x14ac:dyDescent="0.25">
      <c r="A25" s="40"/>
      <c r="B25" s="40"/>
      <c r="C25" s="40"/>
      <c r="D25" s="40"/>
    </row>
    <row r="26" spans="1:9" x14ac:dyDescent="0.25">
      <c r="A26" s="323" t="s">
        <v>107</v>
      </c>
      <c r="B26" s="323"/>
      <c r="C26" s="40"/>
      <c r="D26" s="40"/>
    </row>
    <row r="27" spans="1:9" x14ac:dyDescent="0.25">
      <c r="A27" s="42" t="s">
        <v>108</v>
      </c>
      <c r="B27" s="53">
        <v>2000</v>
      </c>
      <c r="C27" s="40"/>
      <c r="D27" s="40"/>
    </row>
    <row r="28" spans="1:9" x14ac:dyDescent="0.25">
      <c r="A28" s="42" t="s">
        <v>116</v>
      </c>
      <c r="B28" s="53">
        <f>-Nóminab!D60</f>
        <v>2284.2830699999995</v>
      </c>
      <c r="C28" s="40"/>
      <c r="D28" s="40"/>
    </row>
    <row r="29" spans="1:9" hidden="1" x14ac:dyDescent="0.25">
      <c r="A29" s="45" t="str">
        <f>+A7</f>
        <v>Sin discapacidad</v>
      </c>
      <c r="B29" s="44">
        <f>IF(A7=H14,I14,IF(A7=H15,I15,0))</f>
        <v>0</v>
      </c>
      <c r="C29" s="40"/>
      <c r="D29" s="40"/>
    </row>
    <row r="30" spans="1:9" hidden="1" x14ac:dyDescent="0.25">
      <c r="A30" s="48" t="s">
        <v>109</v>
      </c>
      <c r="B30" s="53">
        <f>IF(B11&gt;2,600,0)</f>
        <v>0</v>
      </c>
      <c r="C30" s="40"/>
      <c r="D30" s="40"/>
    </row>
    <row r="31" spans="1:9" x14ac:dyDescent="0.25">
      <c r="A31" s="42" t="s">
        <v>159</v>
      </c>
      <c r="B31" s="95"/>
      <c r="C31" s="40"/>
      <c r="D31" s="40"/>
    </row>
    <row r="32" spans="1:9" hidden="1" x14ac:dyDescent="0.25">
      <c r="A32" s="54" t="s">
        <v>110</v>
      </c>
      <c r="B32" s="53">
        <f>+B24-B28-B27-B29-B30-B31</f>
        <v>32822.536929999995</v>
      </c>
      <c r="C32" s="52">
        <f>SUM(C5:C31)</f>
        <v>5550</v>
      </c>
      <c r="D32" s="40"/>
    </row>
    <row r="33" spans="1:4" hidden="1" x14ac:dyDescent="0.25">
      <c r="A33" s="54" t="s">
        <v>111</v>
      </c>
      <c r="B33" s="53">
        <f>IF(B32&lt;=12450,B32*19%,IF(AND(B32&gt;12450,B32&lt;20200.0000001),((B32-12450)*24%)+2362.5,IF(AND(B32&gt;20200.000001,B32&lt;35200.0000001),((B32-20200)*30%)+4225.5,IF(AND(B32&gt;35200.000001,B32&lt;60000.0000001),((B32-35200)*37%)+8725.5,IF(B32&gt;60000.000001,((B32-60000)*45%)+17901.5,0)))))</f>
        <v>8012.2610789999981</v>
      </c>
      <c r="C33" s="52">
        <f>IF(C32&lt;12450.0000001,C32*19%,IF(AND(C32&gt;12450.000001,C32&lt;20200.0000001),((C32-12450)*24%)+2365.5,IF(AND(C32&gt;20200.000001,C32&lt;35200.0000001),((C32-20200)*30%)+4225.5,IF(AND(C32&gt;35200.000001,C32&lt;60000.0000001),((C32-35200)*37%)+8725.5,IF(C32&gt;60000.000001,((C32-60000)*45%)+17901.5,0)))))</f>
        <v>1054.5</v>
      </c>
      <c r="D33" s="40"/>
    </row>
    <row r="34" spans="1:4" hidden="1" x14ac:dyDescent="0.25">
      <c r="A34" s="54" t="s">
        <v>112</v>
      </c>
      <c r="B34" s="53">
        <f>+B33-C33</f>
        <v>6957.7610789999981</v>
      </c>
      <c r="C34" s="40"/>
      <c r="D34" s="40"/>
    </row>
    <row r="35" spans="1:4" x14ac:dyDescent="0.25">
      <c r="A35" s="54" t="s">
        <v>113</v>
      </c>
      <c r="B35" s="55">
        <f>(+B34/B24)</f>
        <v>0.18750626108623697</v>
      </c>
      <c r="C35" s="40"/>
      <c r="D35" s="40"/>
    </row>
    <row r="36" spans="1:4" x14ac:dyDescent="0.25">
      <c r="A36" s="40"/>
      <c r="B36" s="40"/>
      <c r="C36" s="40"/>
      <c r="D36" s="40"/>
    </row>
  </sheetData>
  <sheetProtection algorithmName="SHA-512" hashValue="mNxTYGYzNuUm8l/eHlSF0aOb4wDhKWaYmhBevXhN7aESwd7RitX2eFuMZXXItP3FrNXwzJaGC7lvXRdY5wXmxA==" saltValue="8zD4o41paTp1pop+o+fz7Q==" spinCount="100000" sheet="1" selectLockedCells="1"/>
  <mergeCells count="10">
    <mergeCell ref="A23:B23"/>
    <mergeCell ref="A26:B26"/>
    <mergeCell ref="A7:B7"/>
    <mergeCell ref="A6:B6"/>
    <mergeCell ref="A1:C1"/>
    <mergeCell ref="A2:C2"/>
    <mergeCell ref="A4:B4"/>
    <mergeCell ref="A9:B9"/>
    <mergeCell ref="A16:B16"/>
    <mergeCell ref="C18:C19"/>
  </mergeCells>
  <dataValidations count="6">
    <dataValidation type="list" allowBlank="1" showInputMessage="1" showErrorMessage="1" sqref="B10" xr:uid="{00000000-0002-0000-0100-000000000000}">
      <formula1>$H$1:$H$2</formula1>
    </dataValidation>
    <dataValidation type="list" allowBlank="1" showInputMessage="1" showErrorMessage="1" sqref="B21" xr:uid="{00000000-0002-0000-0100-000001000000}">
      <formula1>$H$3:$H$23</formula1>
    </dataValidation>
    <dataValidation type="list" allowBlank="1" showInputMessage="1" showErrorMessage="1" sqref="B17" xr:uid="{00000000-0002-0000-0100-000002000000}">
      <formula1>$H$4:$H$10</formula1>
    </dataValidation>
    <dataValidation type="list" allowBlank="1" showInputMessage="1" showErrorMessage="1" sqref="B11:B14 B18:B20" xr:uid="{00000000-0002-0000-0100-000003000000}">
      <formula1>$H$3:$H$11</formula1>
    </dataValidation>
    <dataValidation type="list" allowBlank="1" showInputMessage="1" showErrorMessage="1" sqref="A7" xr:uid="{00000000-0002-0000-0100-000004000000}">
      <formula1>$H$13:$H$15</formula1>
    </dataValidation>
    <dataValidation type="list" allowBlank="1" showInputMessage="1" showErrorMessage="1" sqref="A6:B6" xr:uid="{00000000-0002-0000-0100-000005000000}">
      <formula1>$H$17:$H$19</formula1>
    </dataValidation>
  </dataValidations>
  <pageMargins left="0.7" right="0.7" top="0.75" bottom="0.75" header="0.3" footer="0.3"/>
  <pageSetup paperSize="9" orientation="portrait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I41"/>
  <sheetViews>
    <sheetView topLeftCell="A2" workbookViewId="0">
      <selection activeCell="B19" sqref="B19"/>
    </sheetView>
  </sheetViews>
  <sheetFormatPr baseColWidth="10" defaultRowHeight="15" x14ac:dyDescent="0.25"/>
  <cols>
    <col min="1" max="1" width="82.85546875" style="38" customWidth="1"/>
    <col min="2" max="2" width="9.140625" style="38" bestFit="1" customWidth="1"/>
    <col min="3" max="3" width="11.85546875" style="38" hidden="1" customWidth="1"/>
    <col min="4" max="4" width="1.85546875" style="38" hidden="1" customWidth="1"/>
    <col min="5" max="5" width="26.5703125" style="38" bestFit="1" customWidth="1"/>
    <col min="6" max="6" width="12.140625" style="38" hidden="1" customWidth="1"/>
    <col min="7" max="7" width="10.7109375" style="38" hidden="1" customWidth="1"/>
    <col min="8" max="8" width="49.85546875" style="38" hidden="1" customWidth="1"/>
    <col min="9" max="9" width="11.42578125" style="38" hidden="1" customWidth="1"/>
    <col min="10" max="16384" width="11.42578125" style="38"/>
  </cols>
  <sheetData>
    <row r="1" spans="1:9" ht="15.75" x14ac:dyDescent="0.25">
      <c r="A1" s="326" t="s">
        <v>85</v>
      </c>
      <c r="B1" s="327"/>
      <c r="C1" s="327"/>
      <c r="D1" s="40"/>
      <c r="H1" s="39" t="s">
        <v>91</v>
      </c>
    </row>
    <row r="2" spans="1:9" ht="15.75" x14ac:dyDescent="0.25">
      <c r="A2" s="328" t="s">
        <v>86</v>
      </c>
      <c r="B2" s="328"/>
      <c r="C2" s="328"/>
      <c r="D2" s="40"/>
      <c r="H2" s="39" t="s">
        <v>123</v>
      </c>
    </row>
    <row r="3" spans="1:9" ht="5.25" customHeight="1" x14ac:dyDescent="0.25">
      <c r="A3" s="40"/>
      <c r="B3" s="40"/>
      <c r="C3" s="40"/>
      <c r="D3" s="40"/>
      <c r="H3" s="38">
        <v>0</v>
      </c>
    </row>
    <row r="4" spans="1:9" x14ac:dyDescent="0.25">
      <c r="A4" s="323" t="s">
        <v>87</v>
      </c>
      <c r="B4" s="323"/>
      <c r="C4" s="41" t="s">
        <v>88</v>
      </c>
      <c r="D4" s="40"/>
      <c r="H4" s="38">
        <v>1</v>
      </c>
    </row>
    <row r="5" spans="1:9" x14ac:dyDescent="0.25">
      <c r="A5" s="42" t="s">
        <v>89</v>
      </c>
      <c r="B5" s="43"/>
      <c r="C5" s="44">
        <v>5550</v>
      </c>
      <c r="D5" s="40"/>
      <c r="H5" s="38">
        <v>2</v>
      </c>
    </row>
    <row r="6" spans="1:9" x14ac:dyDescent="0.25">
      <c r="A6" s="330" t="str">
        <f>+'IRPF año completo'!A6:B6</f>
        <v>Edad menor de 65 años</v>
      </c>
      <c r="B6" s="331"/>
      <c r="C6" s="44">
        <f>IF(A6=H17,I17,IF(A6=H18,I18,IF(A6=H19,I19+I18,0)))</f>
        <v>0</v>
      </c>
      <c r="D6" s="40"/>
      <c r="E6" s="94" t="s">
        <v>158</v>
      </c>
      <c r="F6" s="39"/>
      <c r="G6" s="39"/>
      <c r="H6" s="38">
        <v>3</v>
      </c>
    </row>
    <row r="7" spans="1:9" x14ac:dyDescent="0.25">
      <c r="A7" s="330" t="str">
        <f>+'IRPF año completo'!A7:B7</f>
        <v>Sin discapacidad</v>
      </c>
      <c r="B7" s="331"/>
      <c r="C7" s="40"/>
      <c r="D7" s="40"/>
      <c r="E7" s="94" t="s">
        <v>158</v>
      </c>
      <c r="F7" s="39"/>
      <c r="G7" s="39"/>
      <c r="H7" s="38">
        <v>4</v>
      </c>
    </row>
    <row r="8" spans="1:9" ht="7.5" customHeight="1" x14ac:dyDescent="0.25">
      <c r="A8" s="40"/>
      <c r="B8" s="40"/>
      <c r="C8" s="40"/>
      <c r="D8" s="40"/>
      <c r="E8" s="39"/>
      <c r="F8" s="39"/>
      <c r="G8" s="39"/>
      <c r="H8" s="38">
        <v>5</v>
      </c>
    </row>
    <row r="9" spans="1:9" x14ac:dyDescent="0.25">
      <c r="A9" s="323" t="s">
        <v>93</v>
      </c>
      <c r="B9" s="323"/>
      <c r="C9" s="40"/>
      <c r="D9" s="40"/>
      <c r="E9" s="39"/>
      <c r="F9" s="39"/>
      <c r="G9" s="39"/>
      <c r="H9" s="38">
        <v>6</v>
      </c>
    </row>
    <row r="10" spans="1:9" x14ac:dyDescent="0.25">
      <c r="A10" s="45" t="s">
        <v>94</v>
      </c>
      <c r="B10" s="103" t="str">
        <f>+'IRPF año completo'!B10</f>
        <v>NO</v>
      </c>
      <c r="C10" s="40"/>
      <c r="D10" s="40"/>
      <c r="E10" s="94" t="s">
        <v>158</v>
      </c>
      <c r="F10" s="39"/>
      <c r="G10" s="39"/>
      <c r="H10" s="38">
        <v>7</v>
      </c>
    </row>
    <row r="11" spans="1:9" x14ac:dyDescent="0.25">
      <c r="A11" s="45" t="s">
        <v>95</v>
      </c>
      <c r="B11" s="103">
        <f>+'IRPF año completo'!B11</f>
        <v>0</v>
      </c>
      <c r="C11" s="44">
        <f>IF(B10="si",IF(B11=1,2400,IF(B11=2,2400+2700,IF(B11=3,2400+2700+4000,IF(B11=4,2400+2700+4000+4500,IF(B11&gt;4,2400+2700+4000+4500+((B11-4)*4500),0))))),(IF(B11=1,2400,IF(B11=2,2400+2700,IF(B11=3,2400+2700+4000,IF(B11=4,2400+2700+4000+4500,IF(B11&gt;4,2400+2700+4000+4500+((B11-4)*4500),0))))))/2)</f>
        <v>0</v>
      </c>
      <c r="E11" s="94" t="s">
        <v>158</v>
      </c>
      <c r="F11" s="39"/>
      <c r="G11" s="39"/>
      <c r="H11" s="38">
        <v>8</v>
      </c>
    </row>
    <row r="12" spans="1:9" x14ac:dyDescent="0.25">
      <c r="A12" s="45" t="s">
        <v>96</v>
      </c>
      <c r="B12" s="103">
        <f>+'IRPF año completo'!B12</f>
        <v>0</v>
      </c>
      <c r="C12" s="63">
        <f>IF(B10="SI",+B12*2800,(+B12*2800)/2)</f>
        <v>0</v>
      </c>
      <c r="D12" s="40"/>
      <c r="E12" s="94" t="s">
        <v>158</v>
      </c>
      <c r="F12" s="39"/>
      <c r="G12" s="39"/>
    </row>
    <row r="13" spans="1:9" x14ac:dyDescent="0.25">
      <c r="A13" s="48" t="s">
        <v>97</v>
      </c>
      <c r="B13" s="103">
        <f>+'IRPF año completo'!B13</f>
        <v>0</v>
      </c>
      <c r="C13" s="44">
        <f>IF(B10="SI",(B13*3000),(B13*3000)/2)</f>
        <v>0</v>
      </c>
      <c r="D13" s="40"/>
      <c r="E13" s="94" t="s">
        <v>158</v>
      </c>
      <c r="F13" s="39"/>
      <c r="G13" s="39"/>
      <c r="H13" s="39" t="s">
        <v>154</v>
      </c>
      <c r="I13" s="38">
        <v>0</v>
      </c>
    </row>
    <row r="14" spans="1:9" x14ac:dyDescent="0.25">
      <c r="A14" s="48" t="s">
        <v>98</v>
      </c>
      <c r="B14" s="103">
        <f>+'IRPF año completo'!B14</f>
        <v>0</v>
      </c>
      <c r="C14" s="44">
        <f>IF(B10="SI",(B14*9000),(B14*9000)/2)</f>
        <v>0</v>
      </c>
      <c r="D14" s="40"/>
      <c r="E14" s="94" t="s">
        <v>158</v>
      </c>
      <c r="F14" s="39"/>
      <c r="G14" s="39"/>
      <c r="H14" s="39" t="s">
        <v>90</v>
      </c>
      <c r="I14" s="38">
        <v>3000</v>
      </c>
    </row>
    <row r="15" spans="1:9" x14ac:dyDescent="0.25">
      <c r="A15" s="49"/>
      <c r="B15" s="49"/>
      <c r="C15" s="49"/>
      <c r="D15" s="40"/>
      <c r="E15" s="39"/>
      <c r="F15" s="39"/>
      <c r="G15" s="39"/>
      <c r="H15" s="38" t="s">
        <v>92</v>
      </c>
      <c r="I15" s="38">
        <v>9000</v>
      </c>
    </row>
    <row r="16" spans="1:9" x14ac:dyDescent="0.25">
      <c r="A16" s="323" t="s">
        <v>99</v>
      </c>
      <c r="B16" s="323"/>
      <c r="C16" s="49"/>
      <c r="D16" s="40"/>
      <c r="E16" s="39"/>
      <c r="F16" s="39"/>
      <c r="G16" s="39"/>
      <c r="H16" s="39"/>
    </row>
    <row r="17" spans="1:9" x14ac:dyDescent="0.25">
      <c r="A17" s="50" t="s">
        <v>100</v>
      </c>
      <c r="B17" s="104">
        <f>+'IRPF año completo'!B17</f>
        <v>1</v>
      </c>
      <c r="C17" s="49"/>
      <c r="D17" s="40"/>
      <c r="E17" s="94" t="s">
        <v>158</v>
      </c>
      <c r="F17" s="39"/>
      <c r="G17" s="39"/>
      <c r="H17" s="39" t="s">
        <v>155</v>
      </c>
      <c r="I17" s="38">
        <v>0</v>
      </c>
    </row>
    <row r="18" spans="1:9" x14ac:dyDescent="0.25">
      <c r="A18" s="45" t="s">
        <v>101</v>
      </c>
      <c r="B18" s="104">
        <f>+'IRPF año completo'!B18</f>
        <v>0</v>
      </c>
      <c r="C18" s="329">
        <f>((+B18*1150)+(B19*(1150+1400)))/B17</f>
        <v>0</v>
      </c>
      <c r="D18" s="40"/>
      <c r="E18" s="94" t="s">
        <v>158</v>
      </c>
      <c r="F18" s="39"/>
      <c r="G18" s="39"/>
      <c r="H18" s="39" t="s">
        <v>157</v>
      </c>
      <c r="I18" s="38">
        <v>1150</v>
      </c>
    </row>
    <row r="19" spans="1:9" x14ac:dyDescent="0.25">
      <c r="A19" s="45" t="s">
        <v>102</v>
      </c>
      <c r="B19" s="104">
        <f>+'IRPF año completo'!B19</f>
        <v>0</v>
      </c>
      <c r="C19" s="329"/>
      <c r="D19" s="40"/>
      <c r="E19" s="94" t="s">
        <v>158</v>
      </c>
      <c r="F19" s="39"/>
      <c r="G19" s="39"/>
      <c r="H19" s="38" t="s">
        <v>156</v>
      </c>
      <c r="I19" s="38">
        <v>1400</v>
      </c>
    </row>
    <row r="20" spans="1:9" x14ac:dyDescent="0.25">
      <c r="A20" s="48" t="s">
        <v>103</v>
      </c>
      <c r="B20" s="104">
        <f>+'IRPF año completo'!B20</f>
        <v>0</v>
      </c>
      <c r="C20" s="44">
        <f>(B20*3000)/B17</f>
        <v>0</v>
      </c>
      <c r="D20" s="40"/>
      <c r="E20" s="94" t="s">
        <v>158</v>
      </c>
      <c r="F20" s="39"/>
      <c r="G20" s="39"/>
    </row>
    <row r="21" spans="1:9" x14ac:dyDescent="0.25">
      <c r="A21" s="48" t="s">
        <v>104</v>
      </c>
      <c r="B21" s="104">
        <f>+'IRPF año completo'!B21</f>
        <v>0</v>
      </c>
      <c r="C21" s="44">
        <f>+(B21*9000)/B17</f>
        <v>0</v>
      </c>
      <c r="D21" s="40"/>
      <c r="E21" s="94" t="s">
        <v>158</v>
      </c>
      <c r="F21" s="39"/>
      <c r="G21" s="39"/>
    </row>
    <row r="22" spans="1:9" ht="5.25" customHeight="1" x14ac:dyDescent="0.25">
      <c r="A22" s="40"/>
      <c r="B22" s="40"/>
      <c r="C22" s="40"/>
      <c r="D22" s="40"/>
      <c r="E22" s="39"/>
      <c r="F22" s="39"/>
      <c r="G22" s="39"/>
    </row>
    <row r="23" spans="1:9" x14ac:dyDescent="0.25">
      <c r="A23" s="323" t="s">
        <v>105</v>
      </c>
      <c r="B23" s="323"/>
      <c r="C23" s="40"/>
      <c r="D23" s="40"/>
      <c r="E23" s="39"/>
      <c r="F23" s="39"/>
      <c r="G23" s="39"/>
    </row>
    <row r="24" spans="1:9" x14ac:dyDescent="0.25">
      <c r="A24" s="51" t="s">
        <v>190</v>
      </c>
      <c r="B24" s="52">
        <f>(+B39/12)*B38</f>
        <v>24737.879999999994</v>
      </c>
      <c r="C24" s="40"/>
      <c r="D24" s="40"/>
      <c r="E24" s="39"/>
      <c r="F24" s="39"/>
      <c r="G24" s="39"/>
    </row>
    <row r="25" spans="1:9" ht="4.5" customHeight="1" x14ac:dyDescent="0.25">
      <c r="A25" s="40"/>
      <c r="B25" s="40"/>
      <c r="C25" s="40"/>
      <c r="D25" s="40"/>
    </row>
    <row r="26" spans="1:9" x14ac:dyDescent="0.25">
      <c r="A26" s="323" t="s">
        <v>107</v>
      </c>
      <c r="B26" s="323"/>
      <c r="C26" s="40"/>
      <c r="D26" s="40"/>
    </row>
    <row r="27" spans="1:9" hidden="1" x14ac:dyDescent="0.25">
      <c r="A27" s="42" t="s">
        <v>108</v>
      </c>
      <c r="B27" s="53">
        <v>2000</v>
      </c>
      <c r="C27" s="40"/>
      <c r="D27" s="40"/>
    </row>
    <row r="28" spans="1:9" x14ac:dyDescent="0.25">
      <c r="A28" s="42" t="s">
        <v>116</v>
      </c>
      <c r="B28" s="53">
        <f>(-B40/12)*B38</f>
        <v>1522.8553799999997</v>
      </c>
      <c r="C28" s="40"/>
      <c r="D28" s="40"/>
    </row>
    <row r="29" spans="1:9" hidden="1" x14ac:dyDescent="0.25">
      <c r="A29" s="45" t="str">
        <f>+A7</f>
        <v>Sin discapacidad</v>
      </c>
      <c r="B29" s="44">
        <f>IF(A7=H14,I14,IF(A7=H15,I15,0))</f>
        <v>0</v>
      </c>
      <c r="C29" s="40"/>
      <c r="D29" s="40"/>
    </row>
    <row r="30" spans="1:9" hidden="1" x14ac:dyDescent="0.25">
      <c r="A30" s="48" t="s">
        <v>109</v>
      </c>
      <c r="B30" s="53">
        <f>IF(B11&gt;2,600,0)</f>
        <v>0</v>
      </c>
      <c r="C30" s="40"/>
      <c r="D30" s="40"/>
    </row>
    <row r="31" spans="1:9" x14ac:dyDescent="0.25">
      <c r="A31" s="42" t="s">
        <v>159</v>
      </c>
      <c r="B31" s="94"/>
      <c r="C31" s="40"/>
      <c r="D31" s="40"/>
    </row>
    <row r="32" spans="1:9" hidden="1" x14ac:dyDescent="0.25">
      <c r="A32" s="54" t="s">
        <v>110</v>
      </c>
      <c r="B32" s="53">
        <f>+B24-B28-B27-B29-B30-B31</f>
        <v>21215.024619999993</v>
      </c>
      <c r="C32" s="52">
        <f>SUM(C5:C31)</f>
        <v>5550</v>
      </c>
      <c r="D32" s="40"/>
    </row>
    <row r="33" spans="1:4" hidden="1" x14ac:dyDescent="0.25">
      <c r="A33" s="54" t="s">
        <v>111</v>
      </c>
      <c r="B33" s="53">
        <f>IF(B32&lt;=12450,B32*19%,IF(AND(B32&gt;12450,B32&lt;20200.0000001),((B32-12450)*24%)+2362.5,IF(AND(B32&gt;20200.000001,B32&lt;35200.0000001),((B32-20200)*30%)+4225.5,IF(AND(B32&gt;35200.000001,B32&lt;60000.0000001),((B32-35200)*37%)+8725.5,IF(B32&gt;60000.000001,((B32-60000)*45%)+17901.5,0)))))</f>
        <v>4530.0073859999975</v>
      </c>
      <c r="C33" s="52">
        <f>IF(C32&lt;12450.0000001,C32*19%,IF(AND(C32&gt;12450.000001,C32&lt;20200.0000001),((C32-12450)*24%)+2365.5,IF(AND(C32&gt;20200.000001,C32&lt;35200.0000001),((C32-20200)*30%)+4225.5,IF(AND(C32&gt;35200.000001,C32&lt;60000.0000001),((C32-35200)*37%)+8725.5,IF(C32&gt;60000.000001,((C32-60000)*45%)+17901.5,0)))))</f>
        <v>1054.5</v>
      </c>
      <c r="D33" s="40"/>
    </row>
    <row r="34" spans="1:4" hidden="1" x14ac:dyDescent="0.25">
      <c r="A34" s="54" t="s">
        <v>112</v>
      </c>
      <c r="B34" s="53">
        <f>+B33-C33</f>
        <v>3475.5073859999975</v>
      </c>
      <c r="C34" s="40"/>
      <c r="D34" s="40"/>
    </row>
    <row r="35" spans="1:4" x14ac:dyDescent="0.25">
      <c r="A35" s="54" t="s">
        <v>113</v>
      </c>
      <c r="B35" s="55">
        <f>(+B34/B24)</f>
        <v>0.14049334001135094</v>
      </c>
      <c r="C35" s="40"/>
      <c r="D35" s="40"/>
    </row>
    <row r="36" spans="1:4" x14ac:dyDescent="0.25">
      <c r="A36" s="40"/>
      <c r="B36" s="40"/>
      <c r="C36" s="40"/>
      <c r="D36" s="40"/>
    </row>
    <row r="37" spans="1:4" hidden="1" x14ac:dyDescent="0.25"/>
    <row r="38" spans="1:4" ht="21" x14ac:dyDescent="0.35">
      <c r="A38" s="102" t="s">
        <v>189</v>
      </c>
      <c r="B38" s="107">
        <f>+Nómina!D8</f>
        <v>8</v>
      </c>
    </row>
    <row r="39" spans="1:4" hidden="1" x14ac:dyDescent="0.25">
      <c r="B39" s="39">
        <f>+Nóminab!D59</f>
        <v>37106.819999999992</v>
      </c>
    </row>
    <row r="40" spans="1:4" hidden="1" x14ac:dyDescent="0.25">
      <c r="B40" s="39">
        <f>+Nóminab!D60</f>
        <v>-2284.2830699999995</v>
      </c>
    </row>
    <row r="41" spans="1:4" hidden="1" x14ac:dyDescent="0.25"/>
  </sheetData>
  <sheetProtection algorithmName="SHA-512" hashValue="pvCbZzx3X4WV6LZJCch5Lv6BWiWgNeJ6eu4pVnbyp8p1hvS8T5DI6M/twUNrZw0eXmrCo0DxVKE6rWai1lNpNg==" saltValue="GKinWzceBAylNR1H9TXgAA==" spinCount="100000" sheet="1" objects="1" scenarios="1"/>
  <mergeCells count="10">
    <mergeCell ref="A16:B16"/>
    <mergeCell ref="C18:C19"/>
    <mergeCell ref="A23:B23"/>
    <mergeCell ref="A26:B26"/>
    <mergeCell ref="A1:C1"/>
    <mergeCell ref="A2:C2"/>
    <mergeCell ref="A4:B4"/>
    <mergeCell ref="A6:B6"/>
    <mergeCell ref="A7:B7"/>
    <mergeCell ref="A9:B9"/>
  </mergeCells>
  <dataValidations count="4">
    <dataValidation type="list" allowBlank="1" showInputMessage="1" showErrorMessage="1" sqref="A6:B6" xr:uid="{00000000-0002-0000-0200-000000000000}">
      <formula1>$H$17:$H$19</formula1>
    </dataValidation>
    <dataValidation type="list" allowBlank="1" showInputMessage="1" showErrorMessage="1" sqref="A7" xr:uid="{00000000-0002-0000-0200-000001000000}">
      <formula1>$H$13:$H$15</formula1>
    </dataValidation>
    <dataValidation type="list" allowBlank="1" showInputMessage="1" showErrorMessage="1" sqref="B17:B21" xr:uid="{00000000-0002-0000-0200-000002000000}">
      <formula1>$H$4:$H$10</formula1>
    </dataValidation>
    <dataValidation type="list" allowBlank="1" showInputMessage="1" showErrorMessage="1" sqref="B10:B14" xr:uid="{00000000-0002-0000-0200-000003000000}">
      <formula1>$H$1:$H$2</formula1>
    </dataValidation>
  </dataValidations>
  <pageMargins left="0.7" right="0.7" top="0.75" bottom="0.75" header="0.3" footer="0.3"/>
  <pageSetup paperSize="9" orientation="portrait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171"/>
  <sheetViews>
    <sheetView topLeftCell="I14" workbookViewId="0">
      <selection activeCell="S15" sqref="S1:T1048576"/>
    </sheetView>
  </sheetViews>
  <sheetFormatPr baseColWidth="10" defaultRowHeight="15" x14ac:dyDescent="0.25"/>
  <cols>
    <col min="1" max="1" width="3" style="38" bestFit="1" customWidth="1"/>
    <col min="2" max="2" width="3.28515625" style="38" bestFit="1" customWidth="1"/>
    <col min="3" max="3" width="38.140625" style="38" bestFit="1" customWidth="1"/>
    <col min="4" max="4" width="9.28515625" style="38" customWidth="1"/>
    <col min="5" max="5" width="10.140625" style="38" customWidth="1"/>
    <col min="6" max="6" width="9.42578125" style="38" customWidth="1"/>
    <col min="7" max="7" width="9.28515625" style="38" customWidth="1"/>
    <col min="8" max="8" width="9.85546875" style="38" customWidth="1"/>
    <col min="9" max="9" width="9.7109375" style="38" customWidth="1"/>
    <col min="10" max="10" width="8.28515625" style="38" bestFit="1" customWidth="1"/>
    <col min="11" max="11" width="10.140625" style="38" customWidth="1"/>
    <col min="12" max="12" width="9.28515625" style="38" customWidth="1"/>
    <col min="13" max="13" width="8.85546875" style="38" bestFit="1" customWidth="1"/>
    <col min="14" max="14" width="8.140625" style="38" customWidth="1"/>
    <col min="15" max="15" width="85.140625" style="38" bestFit="1" customWidth="1"/>
    <col min="16" max="16" width="11.42578125" style="38"/>
    <col min="17" max="18" width="8.140625" style="38" customWidth="1"/>
    <col min="19" max="19" width="20.5703125" style="38" hidden="1" customWidth="1"/>
    <col min="20" max="20" width="12.42578125" style="38" hidden="1" customWidth="1"/>
    <col min="21" max="21" width="7.28515625" style="38" customWidth="1"/>
    <col min="22" max="23" width="8" style="38" customWidth="1"/>
    <col min="24" max="24" width="11.42578125" style="38" customWidth="1"/>
    <col min="25" max="25" width="7.5703125" style="38" customWidth="1"/>
    <col min="26" max="26" width="6.5703125" style="38" customWidth="1"/>
    <col min="27" max="27" width="3" style="38" customWidth="1"/>
    <col min="28" max="28" width="3.28515625" style="38" customWidth="1"/>
    <col min="29" max="30" width="6.5703125" style="38" customWidth="1"/>
    <col min="31" max="31" width="10.28515625" style="38" customWidth="1"/>
    <col min="32" max="32" width="6.7109375" style="38" customWidth="1"/>
    <col min="33" max="34" width="7" style="38" customWidth="1"/>
    <col min="35" max="35" width="7.85546875" style="38" customWidth="1"/>
    <col min="36" max="36" width="6.28515625" style="38" customWidth="1"/>
    <col min="37" max="40" width="7" style="38" customWidth="1"/>
    <col min="41" max="42" width="7.85546875" style="38" customWidth="1"/>
    <col min="43" max="43" width="6.7109375" style="38" customWidth="1"/>
    <col min="44" max="44" width="10.7109375" style="38" bestFit="1" customWidth="1"/>
    <col min="45" max="45" width="6.7109375" style="38" customWidth="1"/>
    <col min="46" max="46" width="11.42578125" style="38" customWidth="1"/>
    <col min="49" max="49" width="17.28515625" style="38" customWidth="1"/>
    <col min="50" max="50" width="23.140625" style="38" customWidth="1"/>
    <col min="51" max="16384" width="11.42578125" style="38"/>
  </cols>
  <sheetData>
    <row r="1" spans="1:48" ht="18" x14ac:dyDescent="0.25">
      <c r="A1" s="64"/>
      <c r="B1" s="332" t="s">
        <v>267</v>
      </c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</row>
    <row r="2" spans="1:48" ht="78.75" x14ac:dyDescent="0.25">
      <c r="A2" s="64"/>
      <c r="B2" s="64"/>
      <c r="C2" s="65" t="s">
        <v>117</v>
      </c>
      <c r="D2" s="33" t="s">
        <v>66</v>
      </c>
      <c r="E2" s="33" t="s">
        <v>67</v>
      </c>
      <c r="F2" s="33" t="s">
        <v>68</v>
      </c>
      <c r="G2" s="33" t="s">
        <v>70</v>
      </c>
      <c r="H2" s="33" t="s">
        <v>71</v>
      </c>
      <c r="I2" s="33" t="s">
        <v>72</v>
      </c>
      <c r="J2" s="33" t="s">
        <v>69</v>
      </c>
      <c r="K2" s="33" t="s">
        <v>73</v>
      </c>
      <c r="L2" s="33" t="s">
        <v>74</v>
      </c>
      <c r="M2" s="33" t="s">
        <v>245</v>
      </c>
      <c r="N2" s="64"/>
      <c r="Q2" s="64"/>
      <c r="R2" s="64"/>
      <c r="S2" s="64"/>
      <c r="T2" s="33" t="str">
        <f>+Nóminab!C5</f>
        <v>597-Maestros</v>
      </c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38"/>
      <c r="AV2" s="38"/>
    </row>
    <row r="3" spans="1:48" ht="18.75" x14ac:dyDescent="0.3">
      <c r="A3" s="64"/>
      <c r="B3" s="64"/>
      <c r="C3" s="91" t="s">
        <v>1</v>
      </c>
      <c r="D3" s="66" t="s">
        <v>53</v>
      </c>
      <c r="E3" s="66" t="s">
        <v>53</v>
      </c>
      <c r="F3" s="66" t="s">
        <v>53</v>
      </c>
      <c r="G3" s="66" t="s">
        <v>53</v>
      </c>
      <c r="H3" s="66" t="s">
        <v>53</v>
      </c>
      <c r="I3" s="66" t="s">
        <v>53</v>
      </c>
      <c r="J3" s="66" t="s">
        <v>75</v>
      </c>
      <c r="K3" s="66" t="s">
        <v>75</v>
      </c>
      <c r="L3" s="66" t="s">
        <v>75</v>
      </c>
      <c r="M3" s="66" t="s">
        <v>75</v>
      </c>
      <c r="N3" s="64"/>
      <c r="O3" s="100" t="s">
        <v>226</v>
      </c>
      <c r="P3" s="220">
        <v>2022</v>
      </c>
      <c r="Q3" s="64"/>
      <c r="R3" s="64"/>
      <c r="S3" s="64"/>
      <c r="T3" s="65" t="str">
        <f>IF(T$2=D$2,D3,IF(T$2=E$2,E3,IF(T$2=F$2,F3,IF(T$2=G$2,G3,IF(T$2=H$2,H3,IF(T$2=I$2,I3,IF(T$2=J$2,J3,IF(T$2=K$2,K3,IF(T$2=L$2,L3,IF(T$2=M$2,M3,IF(T$2=M$2,M3,666)))))))))))</f>
        <v>A2</v>
      </c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38"/>
      <c r="AV3" s="38"/>
    </row>
    <row r="4" spans="1:48" x14ac:dyDescent="0.25">
      <c r="A4" s="64"/>
      <c r="B4" s="64"/>
      <c r="C4" s="91" t="s">
        <v>0</v>
      </c>
      <c r="D4" s="66">
        <v>26</v>
      </c>
      <c r="E4" s="66">
        <v>26</v>
      </c>
      <c r="F4" s="66">
        <v>24</v>
      </c>
      <c r="G4" s="66">
        <v>24</v>
      </c>
      <c r="H4" s="66">
        <v>24</v>
      </c>
      <c r="I4" s="66">
        <v>24</v>
      </c>
      <c r="J4" s="66">
        <v>24</v>
      </c>
      <c r="K4" s="66">
        <v>24</v>
      </c>
      <c r="L4" s="66">
        <v>21</v>
      </c>
      <c r="M4" s="66">
        <v>21</v>
      </c>
      <c r="N4" s="64"/>
      <c r="O4" s="96" t="s">
        <v>179</v>
      </c>
      <c r="P4" s="219">
        <v>552.34</v>
      </c>
      <c r="Q4" s="64"/>
      <c r="R4" s="64"/>
      <c r="S4" s="64"/>
      <c r="T4" s="65">
        <f t="shared" ref="T4:T27" si="0">IF(T$2=D$2,D4,IF(T$2=E$2,E4,IF(T$2=F$2,F4,IF(T$2=G$2,G4,IF(T$2=H$2,H4,IF(T$2=I$2,I4,IF(T$2=J$2,J4,IF(T$2=K$2,K4,IF(T$2=L$2,L4,IF(T$2=M$2,M4,666))))))))))</f>
        <v>21</v>
      </c>
      <c r="V4" s="70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38"/>
      <c r="AV4" s="38"/>
    </row>
    <row r="5" spans="1:48" x14ac:dyDescent="0.25">
      <c r="A5" s="64"/>
      <c r="B5" s="64"/>
      <c r="C5" s="81" t="s">
        <v>2</v>
      </c>
      <c r="D5" s="73">
        <f>+Hoja1!D3</f>
        <v>1238.68</v>
      </c>
      <c r="E5" s="67">
        <f t="shared" ref="E5:I8" si="1">+D5</f>
        <v>1238.68</v>
      </c>
      <c r="F5" s="67">
        <f t="shared" si="1"/>
        <v>1238.68</v>
      </c>
      <c r="G5" s="67">
        <f t="shared" si="1"/>
        <v>1238.68</v>
      </c>
      <c r="H5" s="67">
        <f t="shared" si="1"/>
        <v>1238.68</v>
      </c>
      <c r="I5" s="67">
        <f t="shared" si="1"/>
        <v>1238.68</v>
      </c>
      <c r="J5" s="73">
        <f>+Hoja1!D4</f>
        <v>1071.06</v>
      </c>
      <c r="K5" s="67">
        <f>+J5</f>
        <v>1071.06</v>
      </c>
      <c r="L5" s="67">
        <f>+K5</f>
        <v>1071.06</v>
      </c>
      <c r="M5" s="67">
        <f>+L5</f>
        <v>1071.06</v>
      </c>
      <c r="N5" s="64"/>
      <c r="O5" s="96" t="s">
        <v>180</v>
      </c>
      <c r="P5" s="219">
        <v>503.95</v>
      </c>
      <c r="Q5" s="64"/>
      <c r="R5" s="64"/>
      <c r="S5" s="64"/>
      <c r="T5" s="65">
        <f t="shared" si="0"/>
        <v>1071.06</v>
      </c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38"/>
      <c r="AV5" s="38"/>
    </row>
    <row r="6" spans="1:48" x14ac:dyDescent="0.25">
      <c r="A6" s="64"/>
      <c r="B6" s="64"/>
      <c r="C6" s="81" t="s">
        <v>122</v>
      </c>
      <c r="D6" s="73">
        <f>+Hoja1!G3</f>
        <v>764.37</v>
      </c>
      <c r="E6" s="67">
        <f t="shared" si="1"/>
        <v>764.37</v>
      </c>
      <c r="F6" s="67">
        <f t="shared" si="1"/>
        <v>764.37</v>
      </c>
      <c r="G6" s="67">
        <f t="shared" si="1"/>
        <v>764.37</v>
      </c>
      <c r="H6" s="67">
        <f t="shared" si="1"/>
        <v>764.37</v>
      </c>
      <c r="I6" s="67">
        <f t="shared" si="1"/>
        <v>764.37</v>
      </c>
      <c r="J6" s="73">
        <f>+Hoja1!G4</f>
        <v>781.15</v>
      </c>
      <c r="K6" s="67">
        <f>+J6</f>
        <v>781.15</v>
      </c>
      <c r="L6" s="67">
        <f t="shared" ref="L6:M9" si="2">+K6</f>
        <v>781.15</v>
      </c>
      <c r="M6" s="67">
        <f t="shared" si="2"/>
        <v>781.15</v>
      </c>
      <c r="N6" s="64"/>
      <c r="O6" s="96" t="s">
        <v>181</v>
      </c>
      <c r="P6" s="219">
        <v>380.04</v>
      </c>
      <c r="Q6" s="64"/>
      <c r="R6" s="64"/>
      <c r="S6" s="64"/>
      <c r="T6" s="65">
        <f t="shared" si="0"/>
        <v>781.15</v>
      </c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U6" s="38"/>
      <c r="AV6" s="38"/>
    </row>
    <row r="7" spans="1:48" x14ac:dyDescent="0.25">
      <c r="A7" s="64"/>
      <c r="B7" s="64"/>
      <c r="C7" s="82" t="s">
        <v>3</v>
      </c>
      <c r="D7" s="73">
        <f>+Hoja1!F3</f>
        <v>47.669999999999995</v>
      </c>
      <c r="E7" s="67">
        <f t="shared" si="1"/>
        <v>47.669999999999995</v>
      </c>
      <c r="F7" s="67">
        <f t="shared" si="1"/>
        <v>47.669999999999995</v>
      </c>
      <c r="G7" s="67">
        <f t="shared" si="1"/>
        <v>47.669999999999995</v>
      </c>
      <c r="H7" s="67">
        <f t="shared" si="1"/>
        <v>47.669999999999995</v>
      </c>
      <c r="I7" s="67">
        <f t="shared" si="1"/>
        <v>47.669999999999995</v>
      </c>
      <c r="J7" s="73">
        <f>+Hoja1!F4</f>
        <v>38.880000000000003</v>
      </c>
      <c r="K7" s="67">
        <f>+J7</f>
        <v>38.880000000000003</v>
      </c>
      <c r="L7" s="67">
        <f t="shared" si="2"/>
        <v>38.880000000000003</v>
      </c>
      <c r="M7" s="67">
        <f t="shared" si="2"/>
        <v>38.880000000000003</v>
      </c>
      <c r="N7" s="64"/>
      <c r="O7" s="97" t="s">
        <v>182</v>
      </c>
      <c r="P7" s="219">
        <v>289.17</v>
      </c>
      <c r="Q7" s="64"/>
      <c r="R7" s="64"/>
      <c r="S7" s="64"/>
      <c r="T7" s="65">
        <f t="shared" si="0"/>
        <v>38.880000000000003</v>
      </c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U7" s="38"/>
      <c r="AV7" s="38"/>
    </row>
    <row r="8" spans="1:48" x14ac:dyDescent="0.25">
      <c r="A8" s="64"/>
      <c r="B8" s="64"/>
      <c r="C8" s="82" t="s">
        <v>134</v>
      </c>
      <c r="D8" s="73">
        <f>+Hoja1!H3</f>
        <v>29.43</v>
      </c>
      <c r="E8" s="67">
        <f t="shared" si="1"/>
        <v>29.43</v>
      </c>
      <c r="F8" s="67">
        <f t="shared" si="1"/>
        <v>29.43</v>
      </c>
      <c r="G8" s="67">
        <f t="shared" si="1"/>
        <v>29.43</v>
      </c>
      <c r="H8" s="67">
        <f t="shared" si="1"/>
        <v>29.43</v>
      </c>
      <c r="I8" s="67">
        <f t="shared" si="1"/>
        <v>29.43</v>
      </c>
      <c r="J8" s="73">
        <f>+Hoja1!H4</f>
        <v>28.35</v>
      </c>
      <c r="K8" s="67">
        <f>+J8</f>
        <v>28.35</v>
      </c>
      <c r="L8" s="67">
        <f t="shared" si="2"/>
        <v>28.35</v>
      </c>
      <c r="M8" s="67">
        <f t="shared" si="2"/>
        <v>28.35</v>
      </c>
      <c r="N8" s="64"/>
      <c r="O8" s="97" t="s">
        <v>183</v>
      </c>
      <c r="P8" s="219">
        <v>195.96</v>
      </c>
      <c r="Q8" s="64"/>
      <c r="R8" s="64"/>
      <c r="S8" s="64"/>
      <c r="T8" s="65">
        <f t="shared" si="0"/>
        <v>28.35</v>
      </c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U8" s="38"/>
      <c r="AV8" s="38"/>
    </row>
    <row r="9" spans="1:48" x14ac:dyDescent="0.25">
      <c r="B9" s="64"/>
      <c r="C9" s="83" t="s">
        <v>135</v>
      </c>
      <c r="D9" s="73">
        <v>942.53</v>
      </c>
      <c r="E9" s="73">
        <v>790.59</v>
      </c>
      <c r="F9" s="73">
        <v>660.06999999999994</v>
      </c>
      <c r="G9" s="67">
        <f>+F9</f>
        <v>660.06999999999994</v>
      </c>
      <c r="H9" s="67">
        <f>+G9</f>
        <v>660.06999999999994</v>
      </c>
      <c r="I9" s="67">
        <f>+H9</f>
        <v>660.06999999999994</v>
      </c>
      <c r="J9" s="67">
        <f>+I9</f>
        <v>660.06999999999994</v>
      </c>
      <c r="K9" s="67">
        <f>+J9</f>
        <v>660.06999999999994</v>
      </c>
      <c r="L9" s="73">
        <v>535.99</v>
      </c>
      <c r="M9" s="67">
        <f t="shared" si="2"/>
        <v>535.99</v>
      </c>
      <c r="N9" s="64"/>
      <c r="O9" s="97" t="s">
        <v>184</v>
      </c>
      <c r="P9" s="219">
        <v>122.79</v>
      </c>
      <c r="Q9" s="64"/>
      <c r="R9" s="64"/>
      <c r="S9" s="64"/>
      <c r="T9" s="65">
        <f t="shared" si="0"/>
        <v>535.99</v>
      </c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U9" s="38"/>
      <c r="AV9" s="38"/>
    </row>
    <row r="10" spans="1:48" x14ac:dyDescent="0.25">
      <c r="C10" s="83" t="s">
        <v>136</v>
      </c>
      <c r="D10" s="67">
        <f t="shared" ref="D10:M10" si="3">+D9</f>
        <v>942.53</v>
      </c>
      <c r="E10" s="67">
        <f t="shared" si="3"/>
        <v>790.59</v>
      </c>
      <c r="F10" s="67">
        <f t="shared" si="3"/>
        <v>660.06999999999994</v>
      </c>
      <c r="G10" s="67">
        <f t="shared" si="3"/>
        <v>660.06999999999994</v>
      </c>
      <c r="H10" s="67">
        <f t="shared" si="3"/>
        <v>660.06999999999994</v>
      </c>
      <c r="I10" s="67">
        <f t="shared" si="3"/>
        <v>660.06999999999994</v>
      </c>
      <c r="J10" s="67">
        <f t="shared" si="3"/>
        <v>660.06999999999994</v>
      </c>
      <c r="K10" s="67">
        <f t="shared" si="3"/>
        <v>660.06999999999994</v>
      </c>
      <c r="L10" s="67">
        <f t="shared" si="3"/>
        <v>535.99</v>
      </c>
      <c r="M10" s="67">
        <f t="shared" si="3"/>
        <v>535.99</v>
      </c>
      <c r="N10" s="64"/>
      <c r="O10" s="96" t="s">
        <v>76</v>
      </c>
      <c r="P10" s="219">
        <v>226.64</v>
      </c>
      <c r="Q10" s="64"/>
      <c r="R10" s="64"/>
      <c r="S10" s="64"/>
      <c r="T10" s="65">
        <f t="shared" si="0"/>
        <v>535.99</v>
      </c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U10" s="38"/>
      <c r="AV10" s="38"/>
    </row>
    <row r="11" spans="1:48" x14ac:dyDescent="0.25">
      <c r="C11" s="84" t="s">
        <v>137</v>
      </c>
      <c r="D11" s="73">
        <v>1692.75</v>
      </c>
      <c r="E11" s="73">
        <v>740.3</v>
      </c>
      <c r="F11" s="73">
        <v>686.36</v>
      </c>
      <c r="G11" s="67">
        <f>+F11</f>
        <v>686.36</v>
      </c>
      <c r="H11" s="67">
        <f>+G11</f>
        <v>686.36</v>
      </c>
      <c r="I11" s="67">
        <f>+H11</f>
        <v>686.36</v>
      </c>
      <c r="J11" s="73">
        <v>688.43999999999994</v>
      </c>
      <c r="K11" s="67">
        <f>+J11</f>
        <v>688.43999999999994</v>
      </c>
      <c r="L11" s="73">
        <v>730.78</v>
      </c>
      <c r="M11" s="73">
        <v>812.51</v>
      </c>
      <c r="N11" s="64"/>
      <c r="O11" s="96" t="s">
        <v>77</v>
      </c>
      <c r="P11" s="219">
        <v>217.21</v>
      </c>
      <c r="Q11" s="64"/>
      <c r="R11" s="64"/>
      <c r="S11" s="64"/>
      <c r="T11" s="65">
        <f t="shared" si="0"/>
        <v>730.78</v>
      </c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U11" s="38"/>
      <c r="AV11" s="38"/>
    </row>
    <row r="12" spans="1:48" x14ac:dyDescent="0.25">
      <c r="C12" s="85" t="s">
        <v>138</v>
      </c>
      <c r="D12" s="68">
        <f>ROUNDUP(+D11*78%,2)</f>
        <v>1320.35</v>
      </c>
      <c r="E12" s="68">
        <f>ROUNDUP(+E11*78%,2)-0.01</f>
        <v>577.42999999999995</v>
      </c>
      <c r="F12" s="68">
        <f>ROUNDUP(+F11*78%,2)-0.01</f>
        <v>535.36</v>
      </c>
      <c r="G12" s="68">
        <f>ROUNDUP(+G11*78%,2)</f>
        <v>535.37</v>
      </c>
      <c r="H12" s="68">
        <f t="shared" ref="H12" si="4">ROUNDUP(+H11*78%,2)</f>
        <v>535.37</v>
      </c>
      <c r="I12" s="68">
        <f>ROUNDUP(+I11*78%,2)</f>
        <v>535.37</v>
      </c>
      <c r="J12" s="68">
        <f>ROUNDUP(+J11*78%,2)-0.01</f>
        <v>536.98</v>
      </c>
      <c r="K12" s="68">
        <f>ROUNDUP(+K11*78%,2)</f>
        <v>536.99</v>
      </c>
      <c r="L12" s="68">
        <f t="shared" ref="L12" si="5">ROUNDUP(+L11*78%,2)</f>
        <v>570.01</v>
      </c>
      <c r="M12" s="68">
        <f>ROUNDUP(+M11*78%,2)</f>
        <v>633.76</v>
      </c>
      <c r="N12" s="64"/>
      <c r="O12" s="97" t="s">
        <v>78</v>
      </c>
      <c r="P12" s="219">
        <v>203.02</v>
      </c>
      <c r="Q12" s="64"/>
      <c r="R12" s="64"/>
      <c r="S12" s="64"/>
      <c r="T12" s="65">
        <f t="shared" si="0"/>
        <v>570.01</v>
      </c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U12" s="38"/>
      <c r="AV12" s="38"/>
    </row>
    <row r="13" spans="1:48" x14ac:dyDescent="0.25">
      <c r="C13" s="86" t="s">
        <v>129</v>
      </c>
      <c r="D13" s="74">
        <v>55</v>
      </c>
      <c r="E13" s="69">
        <f t="shared" ref="E13:M27" si="6">+D13</f>
        <v>55</v>
      </c>
      <c r="F13" s="69">
        <f t="shared" si="6"/>
        <v>55</v>
      </c>
      <c r="G13" s="69">
        <f t="shared" si="6"/>
        <v>55</v>
      </c>
      <c r="H13" s="69">
        <f t="shared" si="6"/>
        <v>55</v>
      </c>
      <c r="I13" s="69">
        <f t="shared" si="6"/>
        <v>55</v>
      </c>
      <c r="J13" s="69">
        <f t="shared" si="6"/>
        <v>55</v>
      </c>
      <c r="K13" s="69">
        <f t="shared" si="6"/>
        <v>55</v>
      </c>
      <c r="L13" s="67">
        <f t="shared" si="6"/>
        <v>55</v>
      </c>
      <c r="M13" s="67">
        <f t="shared" si="6"/>
        <v>55</v>
      </c>
      <c r="N13" s="64"/>
      <c r="O13" s="96" t="s">
        <v>79</v>
      </c>
      <c r="P13" s="219">
        <v>158.18</v>
      </c>
      <c r="Q13" s="64"/>
      <c r="R13" s="64"/>
      <c r="S13" s="64"/>
      <c r="T13" s="65">
        <f t="shared" si="0"/>
        <v>55</v>
      </c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U13" s="38"/>
      <c r="AV13" s="38"/>
    </row>
    <row r="14" spans="1:48" x14ac:dyDescent="0.25">
      <c r="C14" s="86" t="s">
        <v>139</v>
      </c>
      <c r="D14" s="74">
        <f>ROUNDUP(+D13*78%,2)</f>
        <v>42.9</v>
      </c>
      <c r="E14" s="69">
        <f t="shared" si="6"/>
        <v>42.9</v>
      </c>
      <c r="F14" s="69">
        <f t="shared" si="6"/>
        <v>42.9</v>
      </c>
      <c r="G14" s="69">
        <f t="shared" si="6"/>
        <v>42.9</v>
      </c>
      <c r="H14" s="69">
        <f t="shared" si="6"/>
        <v>42.9</v>
      </c>
      <c r="I14" s="69">
        <f t="shared" si="6"/>
        <v>42.9</v>
      </c>
      <c r="J14" s="69">
        <f t="shared" si="6"/>
        <v>42.9</v>
      </c>
      <c r="K14" s="69">
        <f t="shared" si="6"/>
        <v>42.9</v>
      </c>
      <c r="L14" s="67">
        <f t="shared" si="6"/>
        <v>42.9</v>
      </c>
      <c r="M14" s="67">
        <f t="shared" si="6"/>
        <v>42.9</v>
      </c>
      <c r="N14" s="64"/>
      <c r="O14" s="97" t="s">
        <v>80</v>
      </c>
      <c r="P14" s="219">
        <v>226.64</v>
      </c>
      <c r="Q14" s="64"/>
      <c r="R14" s="64"/>
      <c r="S14" s="64"/>
      <c r="T14" s="65">
        <f t="shared" si="0"/>
        <v>42.9</v>
      </c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U14" s="38"/>
      <c r="AV14" s="38"/>
    </row>
    <row r="15" spans="1:48" x14ac:dyDescent="0.25">
      <c r="C15" s="86" t="s">
        <v>130</v>
      </c>
      <c r="D15" s="74">
        <v>119</v>
      </c>
      <c r="E15" s="69">
        <f t="shared" si="6"/>
        <v>119</v>
      </c>
      <c r="F15" s="69">
        <f t="shared" si="6"/>
        <v>119</v>
      </c>
      <c r="G15" s="69">
        <f t="shared" si="6"/>
        <v>119</v>
      </c>
      <c r="H15" s="69">
        <f t="shared" si="6"/>
        <v>119</v>
      </c>
      <c r="I15" s="69">
        <f t="shared" si="6"/>
        <v>119</v>
      </c>
      <c r="J15" s="69">
        <f t="shared" si="6"/>
        <v>119</v>
      </c>
      <c r="K15" s="69">
        <f t="shared" si="6"/>
        <v>119</v>
      </c>
      <c r="L15" s="67">
        <f t="shared" si="6"/>
        <v>119</v>
      </c>
      <c r="M15" s="67">
        <f t="shared" si="6"/>
        <v>119</v>
      </c>
      <c r="N15" s="64"/>
      <c r="O15" s="96" t="s">
        <v>81</v>
      </c>
      <c r="P15" s="219">
        <v>217.21</v>
      </c>
      <c r="Q15" s="64"/>
      <c r="R15" s="64"/>
      <c r="S15" s="64"/>
      <c r="T15" s="65">
        <f t="shared" si="0"/>
        <v>119</v>
      </c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U15" s="38"/>
      <c r="AV15" s="38"/>
    </row>
    <row r="16" spans="1:48" x14ac:dyDescent="0.25">
      <c r="C16" s="86" t="s">
        <v>140</v>
      </c>
      <c r="D16" s="74">
        <f>+D15*78%</f>
        <v>92.820000000000007</v>
      </c>
      <c r="E16" s="69">
        <f t="shared" si="6"/>
        <v>92.820000000000007</v>
      </c>
      <c r="F16" s="69">
        <f t="shared" si="6"/>
        <v>92.820000000000007</v>
      </c>
      <c r="G16" s="69">
        <f t="shared" si="6"/>
        <v>92.820000000000007</v>
      </c>
      <c r="H16" s="69">
        <f t="shared" si="6"/>
        <v>92.820000000000007</v>
      </c>
      <c r="I16" s="69">
        <f t="shared" si="6"/>
        <v>92.820000000000007</v>
      </c>
      <c r="J16" s="69">
        <f t="shared" si="6"/>
        <v>92.820000000000007</v>
      </c>
      <c r="K16" s="69">
        <f t="shared" si="6"/>
        <v>92.820000000000007</v>
      </c>
      <c r="L16" s="67">
        <f t="shared" si="6"/>
        <v>92.820000000000007</v>
      </c>
      <c r="M16" s="67">
        <f t="shared" si="6"/>
        <v>92.820000000000007</v>
      </c>
      <c r="N16" s="64"/>
      <c r="O16" s="96" t="s">
        <v>82</v>
      </c>
      <c r="P16" s="219">
        <v>203.02</v>
      </c>
      <c r="Q16" s="64"/>
      <c r="R16" s="64"/>
      <c r="S16" s="64"/>
      <c r="T16" s="65">
        <f t="shared" si="0"/>
        <v>92.820000000000007</v>
      </c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U16" s="38"/>
      <c r="AV16" s="38"/>
    </row>
    <row r="17" spans="3:48" x14ac:dyDescent="0.25">
      <c r="C17" s="86" t="s">
        <v>131</v>
      </c>
      <c r="D17" s="74">
        <v>239</v>
      </c>
      <c r="E17" s="69">
        <f t="shared" si="6"/>
        <v>239</v>
      </c>
      <c r="F17" s="69">
        <f t="shared" si="6"/>
        <v>239</v>
      </c>
      <c r="G17" s="69">
        <f t="shared" si="6"/>
        <v>239</v>
      </c>
      <c r="H17" s="69">
        <f t="shared" si="6"/>
        <v>239</v>
      </c>
      <c r="I17" s="69">
        <f t="shared" si="6"/>
        <v>239</v>
      </c>
      <c r="J17" s="69">
        <f t="shared" si="6"/>
        <v>239</v>
      </c>
      <c r="K17" s="69">
        <f t="shared" si="6"/>
        <v>239</v>
      </c>
      <c r="L17" s="67">
        <f t="shared" si="6"/>
        <v>239</v>
      </c>
      <c r="M17" s="67">
        <f t="shared" si="6"/>
        <v>239</v>
      </c>
      <c r="N17" s="64"/>
      <c r="O17" s="96" t="s">
        <v>83</v>
      </c>
      <c r="P17" s="219">
        <v>158.18</v>
      </c>
      <c r="Q17" s="64"/>
      <c r="R17" s="64"/>
      <c r="S17" s="64"/>
      <c r="T17" s="65">
        <f t="shared" si="0"/>
        <v>239</v>
      </c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U17" s="38"/>
      <c r="AV17" s="38"/>
    </row>
    <row r="18" spans="3:48" x14ac:dyDescent="0.25">
      <c r="C18" s="86" t="s">
        <v>141</v>
      </c>
      <c r="D18" s="74">
        <f>+D17*78%</f>
        <v>186.42000000000002</v>
      </c>
      <c r="E18" s="69">
        <f t="shared" si="6"/>
        <v>186.42000000000002</v>
      </c>
      <c r="F18" s="69">
        <f t="shared" si="6"/>
        <v>186.42000000000002</v>
      </c>
      <c r="G18" s="69">
        <f t="shared" si="6"/>
        <v>186.42000000000002</v>
      </c>
      <c r="H18" s="69">
        <f t="shared" si="6"/>
        <v>186.42000000000002</v>
      </c>
      <c r="I18" s="69">
        <f t="shared" si="6"/>
        <v>186.42000000000002</v>
      </c>
      <c r="J18" s="69">
        <f t="shared" si="6"/>
        <v>186.42000000000002</v>
      </c>
      <c r="K18" s="69">
        <f t="shared" si="6"/>
        <v>186.42000000000002</v>
      </c>
      <c r="L18" s="67">
        <f t="shared" si="6"/>
        <v>186.42000000000002</v>
      </c>
      <c r="M18" s="67">
        <f t="shared" si="6"/>
        <v>186.42000000000002</v>
      </c>
      <c r="N18" s="64"/>
      <c r="O18" s="96" t="s">
        <v>84</v>
      </c>
      <c r="P18" s="219">
        <v>106.25</v>
      </c>
      <c r="Q18" s="64"/>
      <c r="R18" s="64"/>
      <c r="S18" s="64"/>
      <c r="T18" s="65">
        <f t="shared" si="0"/>
        <v>186.42000000000002</v>
      </c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U18" s="38"/>
      <c r="AV18" s="38"/>
    </row>
    <row r="19" spans="3:48" x14ac:dyDescent="0.25">
      <c r="C19" s="86" t="s">
        <v>132</v>
      </c>
      <c r="D19" s="74">
        <v>419</v>
      </c>
      <c r="E19" s="69">
        <f t="shared" si="6"/>
        <v>419</v>
      </c>
      <c r="F19" s="69">
        <f t="shared" si="6"/>
        <v>419</v>
      </c>
      <c r="G19" s="69">
        <f t="shared" si="6"/>
        <v>419</v>
      </c>
      <c r="H19" s="69">
        <f t="shared" si="6"/>
        <v>419</v>
      </c>
      <c r="I19" s="69">
        <f t="shared" si="6"/>
        <v>419</v>
      </c>
      <c r="J19" s="69">
        <f t="shared" si="6"/>
        <v>419</v>
      </c>
      <c r="K19" s="69">
        <f t="shared" si="6"/>
        <v>419</v>
      </c>
      <c r="L19" s="67">
        <f t="shared" si="6"/>
        <v>419</v>
      </c>
      <c r="M19" s="67">
        <f t="shared" si="6"/>
        <v>419</v>
      </c>
      <c r="N19" s="64"/>
      <c r="O19" s="96" t="s">
        <v>40</v>
      </c>
      <c r="P19" s="219">
        <v>226.64</v>
      </c>
      <c r="Q19" s="64"/>
      <c r="R19" s="64"/>
      <c r="S19" s="64"/>
      <c r="T19" s="65">
        <f t="shared" si="0"/>
        <v>419</v>
      </c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U19" s="38"/>
      <c r="AV19" s="38"/>
    </row>
    <row r="20" spans="3:48" x14ac:dyDescent="0.25">
      <c r="C20" s="86" t="s">
        <v>142</v>
      </c>
      <c r="D20" s="74">
        <f>+D19*78%</f>
        <v>326.82</v>
      </c>
      <c r="E20" s="69">
        <f t="shared" si="6"/>
        <v>326.82</v>
      </c>
      <c r="F20" s="69">
        <f t="shared" si="6"/>
        <v>326.82</v>
      </c>
      <c r="G20" s="69">
        <f t="shared" si="6"/>
        <v>326.82</v>
      </c>
      <c r="H20" s="69">
        <f t="shared" si="6"/>
        <v>326.82</v>
      </c>
      <c r="I20" s="69">
        <f t="shared" si="6"/>
        <v>326.82</v>
      </c>
      <c r="J20" s="69">
        <f t="shared" si="6"/>
        <v>326.82</v>
      </c>
      <c r="K20" s="69">
        <f t="shared" si="6"/>
        <v>326.82</v>
      </c>
      <c r="L20" s="67">
        <f t="shared" si="6"/>
        <v>326.82</v>
      </c>
      <c r="M20" s="67">
        <f t="shared" si="6"/>
        <v>326.82</v>
      </c>
      <c r="N20" s="64"/>
      <c r="O20" s="96" t="s">
        <v>41</v>
      </c>
      <c r="P20" s="219">
        <v>217.21</v>
      </c>
      <c r="Q20" s="64"/>
      <c r="R20" s="64"/>
      <c r="S20" s="64"/>
      <c r="T20" s="65">
        <f t="shared" si="0"/>
        <v>326.82</v>
      </c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U20" s="38"/>
      <c r="AV20" s="38"/>
    </row>
    <row r="21" spans="3:48" x14ac:dyDescent="0.25">
      <c r="C21" s="86" t="s">
        <v>143</v>
      </c>
      <c r="D21" s="74">
        <v>489</v>
      </c>
      <c r="E21" s="69">
        <f t="shared" si="6"/>
        <v>489</v>
      </c>
      <c r="F21" s="69">
        <f t="shared" si="6"/>
        <v>489</v>
      </c>
      <c r="G21" s="69">
        <f t="shared" si="6"/>
        <v>489</v>
      </c>
      <c r="H21" s="69">
        <f t="shared" si="6"/>
        <v>489</v>
      </c>
      <c r="I21" s="69">
        <f t="shared" si="6"/>
        <v>489</v>
      </c>
      <c r="J21" s="69">
        <f t="shared" si="6"/>
        <v>489</v>
      </c>
      <c r="K21" s="69">
        <f t="shared" si="6"/>
        <v>489</v>
      </c>
      <c r="L21" s="67">
        <f t="shared" si="6"/>
        <v>489</v>
      </c>
      <c r="M21" s="67">
        <f t="shared" si="6"/>
        <v>489</v>
      </c>
      <c r="N21" s="64"/>
      <c r="O21" s="97" t="s">
        <v>42</v>
      </c>
      <c r="P21" s="219">
        <v>203.02</v>
      </c>
      <c r="Q21" s="64"/>
      <c r="R21" s="64"/>
      <c r="S21" s="64"/>
      <c r="T21" s="65">
        <f t="shared" si="0"/>
        <v>489</v>
      </c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U21" s="38"/>
      <c r="AV21" s="38"/>
    </row>
    <row r="22" spans="3:48" x14ac:dyDescent="0.25">
      <c r="C22" s="86" t="s">
        <v>144</v>
      </c>
      <c r="D22" s="74">
        <f>+D21*78%</f>
        <v>381.42</v>
      </c>
      <c r="E22" s="69">
        <f t="shared" si="6"/>
        <v>381.42</v>
      </c>
      <c r="F22" s="69">
        <f t="shared" si="6"/>
        <v>381.42</v>
      </c>
      <c r="G22" s="69">
        <f t="shared" si="6"/>
        <v>381.42</v>
      </c>
      <c r="H22" s="69">
        <f t="shared" si="6"/>
        <v>381.42</v>
      </c>
      <c r="I22" s="69">
        <f t="shared" si="6"/>
        <v>381.42</v>
      </c>
      <c r="J22" s="69">
        <f t="shared" si="6"/>
        <v>381.42</v>
      </c>
      <c r="K22" s="69">
        <f t="shared" si="6"/>
        <v>381.42</v>
      </c>
      <c r="L22" s="67">
        <f t="shared" si="6"/>
        <v>381.42</v>
      </c>
      <c r="M22" s="67">
        <f t="shared" si="6"/>
        <v>381.42</v>
      </c>
      <c r="N22" s="64"/>
      <c r="O22" s="98" t="s">
        <v>20</v>
      </c>
      <c r="P22" s="219">
        <v>694.22</v>
      </c>
      <c r="Q22" s="64"/>
      <c r="R22" s="64"/>
      <c r="S22" s="64"/>
      <c r="T22" s="65">
        <f t="shared" si="0"/>
        <v>381.42</v>
      </c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U22" s="38"/>
      <c r="AV22" s="38"/>
    </row>
    <row r="23" spans="3:48" x14ac:dyDescent="0.25">
      <c r="C23" s="92" t="s">
        <v>4</v>
      </c>
      <c r="D23" s="73">
        <v>181.85999999999999</v>
      </c>
      <c r="E23" s="73">
        <v>163.73999999999998</v>
      </c>
      <c r="F23" s="73">
        <v>145.53</v>
      </c>
      <c r="G23" s="69">
        <f t="shared" si="6"/>
        <v>145.53</v>
      </c>
      <c r="H23" s="69">
        <f t="shared" si="6"/>
        <v>145.53</v>
      </c>
      <c r="I23" s="69">
        <f t="shared" si="6"/>
        <v>145.53</v>
      </c>
      <c r="J23" s="73">
        <v>130.98999999999998</v>
      </c>
      <c r="K23" s="69">
        <f>+J23</f>
        <v>130.98999999999998</v>
      </c>
      <c r="L23" s="67">
        <f t="shared" si="6"/>
        <v>130.98999999999998</v>
      </c>
      <c r="M23" s="67">
        <f t="shared" si="6"/>
        <v>130.98999999999998</v>
      </c>
      <c r="N23" s="64"/>
      <c r="O23" s="98" t="s">
        <v>21</v>
      </c>
      <c r="P23" s="219">
        <v>617.53</v>
      </c>
      <c r="Q23" s="64"/>
      <c r="R23" s="64"/>
      <c r="S23" s="64"/>
      <c r="T23" s="65">
        <f t="shared" si="0"/>
        <v>130.98999999999998</v>
      </c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U23" s="38"/>
      <c r="AV23" s="38"/>
    </row>
    <row r="24" spans="3:48" x14ac:dyDescent="0.25">
      <c r="C24" s="87" t="s">
        <v>5</v>
      </c>
      <c r="D24" s="73">
        <v>605.95000000000005</v>
      </c>
      <c r="E24" s="73">
        <v>545.38</v>
      </c>
      <c r="F24" s="73">
        <v>484.77</v>
      </c>
      <c r="G24" s="69">
        <f t="shared" si="6"/>
        <v>484.77</v>
      </c>
      <c r="H24" s="69">
        <f t="shared" si="6"/>
        <v>484.77</v>
      </c>
      <c r="I24" s="69">
        <f t="shared" si="6"/>
        <v>484.77</v>
      </c>
      <c r="J24" s="73">
        <v>436.3</v>
      </c>
      <c r="K24" s="69">
        <f>+J24</f>
        <v>436.3</v>
      </c>
      <c r="L24" s="67">
        <f t="shared" si="6"/>
        <v>436.3</v>
      </c>
      <c r="M24" s="67">
        <f t="shared" si="6"/>
        <v>436.3</v>
      </c>
      <c r="N24" s="64"/>
      <c r="O24" s="98" t="s">
        <v>22</v>
      </c>
      <c r="P24" s="219">
        <v>556.11</v>
      </c>
      <c r="Q24" s="64"/>
      <c r="R24" s="64"/>
      <c r="S24" s="64"/>
      <c r="T24" s="65">
        <f t="shared" si="0"/>
        <v>436.3</v>
      </c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U24" s="38"/>
      <c r="AV24" s="38"/>
    </row>
    <row r="25" spans="3:48" x14ac:dyDescent="0.25">
      <c r="C25" s="88" t="s">
        <v>6</v>
      </c>
      <c r="D25" s="73">
        <v>42.559999999999995</v>
      </c>
      <c r="E25" s="73">
        <v>38.29</v>
      </c>
      <c r="F25" s="73">
        <v>34.089999999999996</v>
      </c>
      <c r="G25" s="69">
        <f t="shared" si="6"/>
        <v>34.089999999999996</v>
      </c>
      <c r="H25" s="69">
        <f t="shared" si="6"/>
        <v>34.089999999999996</v>
      </c>
      <c r="I25" s="69">
        <f t="shared" si="6"/>
        <v>34.089999999999996</v>
      </c>
      <c r="J25" s="73">
        <v>30.66</v>
      </c>
      <c r="K25" s="69">
        <f>+J25</f>
        <v>30.66</v>
      </c>
      <c r="L25" s="67">
        <f t="shared" si="6"/>
        <v>30.66</v>
      </c>
      <c r="M25" s="67">
        <f t="shared" si="6"/>
        <v>30.66</v>
      </c>
      <c r="N25" s="64"/>
      <c r="O25" s="98" t="s">
        <v>23</v>
      </c>
      <c r="P25" s="219">
        <v>506.52</v>
      </c>
      <c r="Q25" s="64"/>
      <c r="R25" s="64"/>
      <c r="S25" s="64"/>
      <c r="T25" s="65">
        <f t="shared" si="0"/>
        <v>30.66</v>
      </c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U25" s="38"/>
      <c r="AV25" s="38"/>
    </row>
    <row r="26" spans="3:48" x14ac:dyDescent="0.25">
      <c r="C26" s="89" t="s">
        <v>13</v>
      </c>
      <c r="D26" s="79">
        <v>50.42</v>
      </c>
      <c r="E26" s="69">
        <f>+D26</f>
        <v>50.42</v>
      </c>
      <c r="F26" s="69">
        <f>+E26</f>
        <v>50.42</v>
      </c>
      <c r="G26" s="69">
        <f t="shared" si="6"/>
        <v>50.42</v>
      </c>
      <c r="H26" s="69">
        <f t="shared" si="6"/>
        <v>50.42</v>
      </c>
      <c r="I26" s="69">
        <f t="shared" si="6"/>
        <v>50.42</v>
      </c>
      <c r="J26" s="79">
        <v>39.69</v>
      </c>
      <c r="K26" s="69">
        <f>+J26</f>
        <v>39.69</v>
      </c>
      <c r="L26" s="67">
        <f t="shared" si="6"/>
        <v>39.69</v>
      </c>
      <c r="M26" s="67">
        <f t="shared" si="6"/>
        <v>39.69</v>
      </c>
      <c r="N26" s="64"/>
      <c r="O26" s="98" t="s">
        <v>24</v>
      </c>
      <c r="P26" s="219">
        <v>341.27</v>
      </c>
      <c r="Q26" s="64"/>
      <c r="R26" s="64"/>
      <c r="S26" s="64"/>
      <c r="T26" s="65">
        <f t="shared" si="0"/>
        <v>39.69</v>
      </c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U26" s="38"/>
      <c r="AV26" s="38"/>
    </row>
    <row r="27" spans="3:48" x14ac:dyDescent="0.25">
      <c r="C27" s="90" t="s">
        <v>145</v>
      </c>
      <c r="D27" s="80">
        <v>115.17</v>
      </c>
      <c r="E27" s="69">
        <f>+D27</f>
        <v>115.17</v>
      </c>
      <c r="F27" s="69">
        <f>+E27</f>
        <v>115.17</v>
      </c>
      <c r="G27" s="69">
        <f t="shared" si="6"/>
        <v>115.17</v>
      </c>
      <c r="H27" s="69">
        <f t="shared" si="6"/>
        <v>115.17</v>
      </c>
      <c r="I27" s="69">
        <f t="shared" si="6"/>
        <v>115.17</v>
      </c>
      <c r="J27" s="79">
        <v>90.64</v>
      </c>
      <c r="K27" s="69">
        <f>+J27</f>
        <v>90.64</v>
      </c>
      <c r="L27" s="67">
        <f t="shared" si="6"/>
        <v>90.64</v>
      </c>
      <c r="M27" s="67">
        <f t="shared" si="6"/>
        <v>90.64</v>
      </c>
      <c r="N27" s="64"/>
      <c r="O27" s="99" t="s">
        <v>25</v>
      </c>
      <c r="P27" s="219">
        <v>327.08999999999997</v>
      </c>
      <c r="Q27" s="64"/>
      <c r="R27" s="64"/>
      <c r="S27" s="64"/>
      <c r="T27" s="65">
        <f t="shared" si="0"/>
        <v>90.64</v>
      </c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U27" s="38"/>
      <c r="AV27" s="38"/>
    </row>
    <row r="28" spans="3:48" x14ac:dyDescent="0.25"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99" t="s">
        <v>26</v>
      </c>
      <c r="P28" s="219">
        <v>253.88</v>
      </c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U28" s="38"/>
      <c r="AV28" s="38"/>
    </row>
    <row r="29" spans="3:48" x14ac:dyDescent="0.25"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99" t="s">
        <v>27</v>
      </c>
      <c r="P29" s="219">
        <v>203.13</v>
      </c>
      <c r="Q29" s="64"/>
      <c r="R29" s="64"/>
      <c r="S29" s="91" t="s">
        <v>44</v>
      </c>
      <c r="T29" s="71">
        <f>INT(+Nómina!D10/3)</f>
        <v>4</v>
      </c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U29" s="38"/>
      <c r="AV29" s="38"/>
    </row>
    <row r="30" spans="3:48" x14ac:dyDescent="0.25"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99" t="s">
        <v>28</v>
      </c>
      <c r="P30" s="219">
        <v>341.27</v>
      </c>
      <c r="Q30" s="64"/>
      <c r="R30" s="64"/>
      <c r="S30" s="91" t="s">
        <v>146</v>
      </c>
      <c r="T30" s="71">
        <f>INT(+Nómina!D11/6)</f>
        <v>2</v>
      </c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U30" s="38"/>
      <c r="AV30" s="38"/>
    </row>
    <row r="31" spans="3:48" x14ac:dyDescent="0.25">
      <c r="C31" s="64"/>
      <c r="D31"/>
      <c r="E31" s="64"/>
      <c r="F31"/>
      <c r="G31" s="64"/>
      <c r="H31" s="64"/>
      <c r="I31" s="64"/>
      <c r="J31" s="64"/>
      <c r="K31" s="64"/>
      <c r="L31"/>
      <c r="M31" s="64"/>
      <c r="N31" s="64"/>
      <c r="O31" s="99" t="s">
        <v>29</v>
      </c>
      <c r="P31" s="219">
        <v>327.08999999999997</v>
      </c>
      <c r="Q31" s="64"/>
      <c r="R31" s="64"/>
      <c r="S31" s="91" t="s">
        <v>133</v>
      </c>
      <c r="T31" s="93" t="str">
        <f>IF(+Nómina!D9="Capitalina","Isla Captalina","Isla No capitalina")</f>
        <v>Isla Captalina</v>
      </c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U31" s="38"/>
      <c r="AV31" s="38"/>
    </row>
    <row r="32" spans="3:48" x14ac:dyDescent="0.25"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98" t="s">
        <v>30</v>
      </c>
      <c r="P32" s="219">
        <v>253.88</v>
      </c>
      <c r="Q32" s="64"/>
      <c r="R32" s="64"/>
      <c r="S32" s="91" t="s">
        <v>347</v>
      </c>
      <c r="T32" s="226">
        <f>+'IRPF año completo'!B35</f>
        <v>0.18750626108623697</v>
      </c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U32" s="38"/>
      <c r="AV32" s="38"/>
    </row>
    <row r="33" spans="3:48" x14ac:dyDescent="0.25"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98" t="s">
        <v>31</v>
      </c>
      <c r="P33" s="219">
        <v>203.13</v>
      </c>
      <c r="Q33" s="64"/>
      <c r="R33" s="64"/>
      <c r="S33" s="64" t="s">
        <v>348</v>
      </c>
      <c r="T33" s="70">
        <f>((+T5+T9+T11+(T7*T29)+(IF(T30=1,T13,IF(T30=2,T15,IF(T30=3,T17,IF(T30=4,T19,IF(T30&gt;4,T21,0)))))))*12)+((T6+T10+T12+(T8*T29)+(IF(T30=1,T13*0.78,IF(T30=2,T15*0.78,IF(T30=3,T17*0.78,IF(T30=4,T19*0.78,IF(T30&gt;4,T21*0.78,0)))))))*2)+(IF(T31="Isla No Capitalina",(T24+(T25*T29))*12,T23*12))</f>
        <v>37106.819999999992</v>
      </c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U33" s="38"/>
      <c r="AV33" s="38"/>
    </row>
    <row r="34" spans="3:48" x14ac:dyDescent="0.25"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98" t="s">
        <v>32</v>
      </c>
      <c r="P34" s="219">
        <v>341.27</v>
      </c>
      <c r="Q34" s="64"/>
      <c r="R34" s="64"/>
      <c r="S34" s="64" t="s">
        <v>349</v>
      </c>
      <c r="T34" s="70">
        <f>((+T5+T9+T11+(T7*T29)+(IF(T30=1,T13,IF(T30=2,T15,IF(T30=3,T17,IF(T30=4,T19,IF(T30&gt;4,T21,0)))))))*1)+( IF(T31="Isla No Capitalina",(T24+(T25*T29)),T23))</f>
        <v>2743.3399999999997</v>
      </c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U34" s="38"/>
      <c r="AV34" s="38"/>
    </row>
    <row r="35" spans="3:48" x14ac:dyDescent="0.25"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98" t="s">
        <v>33</v>
      </c>
      <c r="P35" s="219">
        <v>327.08999999999997</v>
      </c>
      <c r="Q35" s="64"/>
      <c r="R35" s="64"/>
      <c r="S35" s="64" t="s">
        <v>350</v>
      </c>
      <c r="T35" s="70">
        <f>((+T5+T9+T11+(T7*T29)+(IF(T30=1,T13,IF(T30=2,T15,IF(T30=3,T17,IF(T30=4,T19,IF(T30&gt;4,T21,0)))))))*12)+((T6+T10+T12+(T8*T29)+(IF(T30=1,T13*0.78,IF(T30=2,T15*0.78,IF(T30=3,T17*0.78,IF(T30=4,T19*0.78,IF(T30&gt;4,T21*0.78,0)))))))*2)+(IF(T31="Isla No Capitalina",(T24+(T25*T29))*12,T23*12))-((T26+T27)*14)-(T33*T32)</f>
        <v>28324.438920999994</v>
      </c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U35" s="38"/>
      <c r="AV35" s="38"/>
    </row>
    <row r="36" spans="3:48" x14ac:dyDescent="0.25"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98" t="s">
        <v>34</v>
      </c>
      <c r="P36" s="219">
        <v>253.88</v>
      </c>
      <c r="Q36" s="64"/>
      <c r="R36" s="64"/>
      <c r="S36" s="64" t="s">
        <v>351</v>
      </c>
      <c r="T36" s="70">
        <f>((+T5+T9+T11+(T7*T29)+(IF(T30=1,T13,IF(T30=2,T15,IF(T30=3,T17,IF(T30=4,T19,IF(T30&gt;4,T21,0)))))))*1)+( IF(T31="Isla No Capitalina",(T24+(T25*T29)),T23))-T26-T27-(T34*T32)</f>
        <v>2098.6165737116826</v>
      </c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U36" s="38"/>
      <c r="AV36" s="38"/>
    </row>
    <row r="37" spans="3:48" x14ac:dyDescent="0.25"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98" t="s">
        <v>35</v>
      </c>
      <c r="P37" s="219">
        <v>203.13</v>
      </c>
      <c r="Q37" s="64"/>
      <c r="R37" s="64"/>
      <c r="S37" s="64" t="s">
        <v>352</v>
      </c>
      <c r="T37" s="70">
        <f>((+T5+T9+T11+(T7*T29)+(IF(T30=1,T13,IF(T30=2,T15,IF(T30=3,T17,IF(T30=4,T19,IF(T30&gt;4,T21,0)))))))*1)+(IF(T31="Isla No Capitalina",(T24+(T25*T29)),T23))+(T6+(T8*T29)+T10+T12)+(IF(T30=1,T14,IF(T30=2,T16,IF(T30=3,T18,IF(T30=4,T20,IF(T30&gt;4,T22,0))))))</f>
        <v>4836.7099999999991</v>
      </c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U37" s="38"/>
      <c r="AV37" s="38"/>
    </row>
    <row r="38" spans="3:48" x14ac:dyDescent="0.25"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98" t="s">
        <v>36</v>
      </c>
      <c r="P38" s="219">
        <v>170.65</v>
      </c>
      <c r="Q38" s="64"/>
      <c r="R38" s="64"/>
      <c r="S38" s="64" t="s">
        <v>353</v>
      </c>
      <c r="T38" s="70">
        <f>((+T5+T9+T11+(T7*T29)+(IF(T30=1,T13,IF(T30=2,T15,IF(T30=3,T17,IF(T30=4,T19,IF(T30&gt;4,T21,0)))))))*1)+(IF(T31="Isla No Capitalina",(T24+(T25*T29)),T23))+(T6+(T8*T29)+T10+T12)+(IF(T30=1,T14,IF(T30=2,T16,IF(T30=3,T18,IF(T30=4,T20,IF(T30&gt;4,T22,0))))))-((T26+T27)*2)-(T37*T32)</f>
        <v>3669.1365919415862</v>
      </c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U38" s="38"/>
      <c r="AV38" s="38"/>
    </row>
    <row r="39" spans="3:48" x14ac:dyDescent="0.25"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99" t="s">
        <v>37</v>
      </c>
      <c r="P39" s="219">
        <v>163.57</v>
      </c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U39" s="38"/>
      <c r="AV39" s="38"/>
    </row>
    <row r="40" spans="3:48" x14ac:dyDescent="0.25"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99" t="s">
        <v>38</v>
      </c>
      <c r="P40" s="219">
        <v>126.98</v>
      </c>
      <c r="Q40" s="64"/>
      <c r="R40" s="64"/>
      <c r="S40" s="64"/>
      <c r="T40" s="64"/>
      <c r="U40" s="64"/>
      <c r="V40" s="64"/>
      <c r="W40" s="64"/>
      <c r="AU40" s="38"/>
      <c r="AV40" s="38"/>
    </row>
    <row r="41" spans="3:48" x14ac:dyDescent="0.25"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99" t="s">
        <v>39</v>
      </c>
      <c r="P41" s="219">
        <v>101.61</v>
      </c>
      <c r="Q41" s="64"/>
      <c r="R41" s="64"/>
      <c r="S41" s="64"/>
      <c r="T41" s="64"/>
      <c r="U41" s="64"/>
      <c r="V41" s="64"/>
      <c r="W41" s="64"/>
      <c r="AU41" s="38"/>
      <c r="AV41" s="38"/>
    </row>
    <row r="42" spans="3:48" x14ac:dyDescent="0.25">
      <c r="C42" s="64"/>
      <c r="D42" s="64"/>
      <c r="E42" s="64"/>
      <c r="F42" s="64"/>
      <c r="G42" s="64"/>
      <c r="H42" s="64"/>
      <c r="I42" s="64"/>
      <c r="J42" s="64"/>
      <c r="K42" s="64"/>
      <c r="M42" s="64"/>
      <c r="N42" s="64"/>
      <c r="O42" s="13" t="s">
        <v>7</v>
      </c>
      <c r="P42" s="219">
        <v>363.85</v>
      </c>
      <c r="Q42" s="64"/>
      <c r="R42" s="64"/>
      <c r="S42" s="64"/>
      <c r="T42" s="64"/>
      <c r="U42" s="64"/>
      <c r="V42" s="64"/>
      <c r="W42" s="64"/>
      <c r="AU42" s="38"/>
      <c r="AV42" s="38"/>
    </row>
    <row r="43" spans="3:48" x14ac:dyDescent="0.25">
      <c r="F43" s="64"/>
      <c r="J43" s="64"/>
      <c r="K43" s="64"/>
      <c r="O43" s="13" t="s">
        <v>8</v>
      </c>
      <c r="P43" s="219">
        <v>337.67</v>
      </c>
      <c r="AU43" s="38"/>
      <c r="AV43" s="38"/>
    </row>
    <row r="44" spans="3:48" x14ac:dyDescent="0.25">
      <c r="J44" s="64"/>
      <c r="K44" s="64"/>
      <c r="O44" s="12" t="s">
        <v>9</v>
      </c>
      <c r="P44" s="219">
        <v>175.77</v>
      </c>
      <c r="AU44" s="38"/>
      <c r="AV44" s="38"/>
    </row>
    <row r="45" spans="3:48" x14ac:dyDescent="0.25">
      <c r="J45" s="64"/>
      <c r="K45" s="64"/>
      <c r="O45" s="12" t="s">
        <v>148</v>
      </c>
      <c r="P45" s="219">
        <v>105.86</v>
      </c>
      <c r="AU45" s="38"/>
      <c r="AV45" s="38"/>
    </row>
    <row r="46" spans="3:48" x14ac:dyDescent="0.25">
      <c r="O46" s="12" t="s">
        <v>126</v>
      </c>
      <c r="P46" s="219">
        <v>412.01</v>
      </c>
      <c r="AU46" s="38"/>
      <c r="AV46" s="38"/>
    </row>
    <row r="47" spans="3:48" x14ac:dyDescent="0.25">
      <c r="O47" s="12" t="s">
        <v>127</v>
      </c>
      <c r="P47" s="219">
        <v>234.05</v>
      </c>
      <c r="AU47" s="38"/>
      <c r="AV47" s="38"/>
    </row>
    <row r="48" spans="3:48" x14ac:dyDescent="0.25">
      <c r="O48" s="38" t="s">
        <v>227</v>
      </c>
      <c r="AU48" s="38"/>
      <c r="AV48" s="38"/>
    </row>
    <row r="49" spans="15:49" x14ac:dyDescent="0.25">
      <c r="O49" s="13" t="s">
        <v>11</v>
      </c>
      <c r="P49" s="219">
        <v>70.89</v>
      </c>
      <c r="AU49" s="38"/>
      <c r="AV49" s="38"/>
    </row>
    <row r="50" spans="15:49" x14ac:dyDescent="0.25">
      <c r="O50" s="13" t="s">
        <v>14</v>
      </c>
      <c r="P50" s="219">
        <v>139.4</v>
      </c>
      <c r="AU50" s="38"/>
      <c r="AV50" s="38"/>
      <c r="AW50" s="38" t="s">
        <v>265</v>
      </c>
    </row>
    <row r="51" spans="15:49" x14ac:dyDescent="0.25">
      <c r="O51" s="13" t="s">
        <v>15</v>
      </c>
      <c r="P51" s="219">
        <v>147</v>
      </c>
      <c r="AU51" s="38"/>
      <c r="AV51" s="38"/>
      <c r="AW51" s="38" t="s">
        <v>265</v>
      </c>
    </row>
    <row r="52" spans="15:49" x14ac:dyDescent="0.25">
      <c r="O52" s="13" t="s">
        <v>16</v>
      </c>
      <c r="P52" s="219">
        <v>157.80000000000001</v>
      </c>
      <c r="AU52" s="38"/>
      <c r="AV52" s="38"/>
      <c r="AW52" s="38" t="s">
        <v>265</v>
      </c>
    </row>
    <row r="53" spans="15:49" x14ac:dyDescent="0.25">
      <c r="O53" s="13" t="s">
        <v>17</v>
      </c>
      <c r="P53" s="219">
        <v>121.7</v>
      </c>
      <c r="AU53" s="38"/>
      <c r="AV53" s="38"/>
      <c r="AW53" s="38" t="s">
        <v>265</v>
      </c>
    </row>
    <row r="54" spans="15:49" x14ac:dyDescent="0.25">
      <c r="O54" s="12" t="s">
        <v>18</v>
      </c>
      <c r="P54" s="219">
        <v>128.5</v>
      </c>
      <c r="AU54" s="38"/>
      <c r="AV54" s="38"/>
      <c r="AW54" s="38" t="s">
        <v>265</v>
      </c>
    </row>
    <row r="55" spans="15:49" x14ac:dyDescent="0.25">
      <c r="O55" s="12" t="s">
        <v>19</v>
      </c>
      <c r="P55" s="219">
        <v>135.80000000000001</v>
      </c>
      <c r="AU55" s="38"/>
      <c r="AV55" s="38"/>
      <c r="AW55" s="38" t="s">
        <v>265</v>
      </c>
    </row>
    <row r="56" spans="15:49" x14ac:dyDescent="0.25">
      <c r="O56" s="12" t="s">
        <v>12</v>
      </c>
      <c r="P56" s="219">
        <v>152.49</v>
      </c>
      <c r="AU56" s="38"/>
      <c r="AV56" s="38"/>
    </row>
    <row r="57" spans="15:49" x14ac:dyDescent="0.25">
      <c r="O57" s="12" t="s">
        <v>147</v>
      </c>
      <c r="P57" s="219">
        <v>20.84</v>
      </c>
      <c r="AU57" s="38"/>
      <c r="AV57" s="38"/>
      <c r="AW57" s="38" t="s">
        <v>266</v>
      </c>
    </row>
    <row r="58" spans="15:49" x14ac:dyDescent="0.25">
      <c r="O58" s="12" t="s">
        <v>10</v>
      </c>
      <c r="P58" s="219">
        <v>17.73</v>
      </c>
      <c r="AU58" s="38"/>
      <c r="AV58" s="38"/>
      <c r="AW58" s="38" t="s">
        <v>266</v>
      </c>
    </row>
    <row r="59" spans="15:49" x14ac:dyDescent="0.25">
      <c r="O59" s="13" t="s">
        <v>52</v>
      </c>
      <c r="P59" s="219">
        <v>81.73</v>
      </c>
      <c r="AU59" s="38"/>
      <c r="AV59" s="38"/>
      <c r="AW59" s="38" t="s">
        <v>271</v>
      </c>
    </row>
    <row r="60" spans="15:49" x14ac:dyDescent="0.25">
      <c r="O60" s="101" t="s">
        <v>228</v>
      </c>
      <c r="AU60" s="38"/>
      <c r="AV60" s="38"/>
    </row>
    <row r="61" spans="15:49" x14ac:dyDescent="0.25">
      <c r="O61" s="13" t="s">
        <v>202</v>
      </c>
      <c r="P61" s="219">
        <v>70.89</v>
      </c>
      <c r="AU61" s="38"/>
      <c r="AV61" s="38"/>
    </row>
    <row r="62" spans="15:49" x14ac:dyDescent="0.25">
      <c r="O62" s="13" t="s">
        <v>149</v>
      </c>
      <c r="P62" s="219">
        <v>35</v>
      </c>
      <c r="AU62" s="38"/>
      <c r="AV62" s="38"/>
      <c r="AW62" s="38" t="s">
        <v>266</v>
      </c>
    </row>
    <row r="63" spans="15:49" x14ac:dyDescent="0.25">
      <c r="O63" s="13" t="s">
        <v>239</v>
      </c>
      <c r="P63" s="219">
        <v>35</v>
      </c>
      <c r="AU63" s="38"/>
      <c r="AV63" s="38"/>
      <c r="AW63" s="38" t="s">
        <v>266</v>
      </c>
    </row>
    <row r="64" spans="15:49" x14ac:dyDescent="0.25">
      <c r="O64" s="13" t="s">
        <v>240</v>
      </c>
      <c r="P64" s="219">
        <v>35</v>
      </c>
      <c r="AU64" s="38"/>
      <c r="AV64" s="38"/>
      <c r="AW64" s="38" t="s">
        <v>266</v>
      </c>
    </row>
    <row r="65" spans="15:49" x14ac:dyDescent="0.25">
      <c r="O65" s="13" t="s">
        <v>241</v>
      </c>
      <c r="P65" s="219">
        <v>45</v>
      </c>
      <c r="AU65" s="38"/>
      <c r="AV65" s="38"/>
      <c r="AW65" s="38" t="s">
        <v>266</v>
      </c>
    </row>
    <row r="66" spans="15:49" x14ac:dyDescent="0.25">
      <c r="O66" s="13" t="s">
        <v>242</v>
      </c>
      <c r="P66" s="219">
        <v>45</v>
      </c>
      <c r="AU66" s="38"/>
      <c r="AV66" s="38"/>
      <c r="AW66" s="38" t="s">
        <v>266</v>
      </c>
    </row>
    <row r="67" spans="15:49" x14ac:dyDescent="0.25">
      <c r="O67" s="13" t="s">
        <v>243</v>
      </c>
      <c r="P67" s="219">
        <v>55</v>
      </c>
      <c r="AU67" s="38"/>
      <c r="AV67" s="38"/>
      <c r="AW67" s="38" t="s">
        <v>266</v>
      </c>
    </row>
    <row r="68" spans="15:49" x14ac:dyDescent="0.25">
      <c r="O68" s="13" t="s">
        <v>150</v>
      </c>
      <c r="P68" s="219">
        <v>30</v>
      </c>
      <c r="AU68" s="38"/>
      <c r="AV68" s="38"/>
      <c r="AW68" s="38" t="s">
        <v>266</v>
      </c>
    </row>
    <row r="69" spans="15:49" x14ac:dyDescent="0.25">
      <c r="O69" s="13" t="s">
        <v>153</v>
      </c>
      <c r="P69" s="219">
        <v>30</v>
      </c>
      <c r="AU69" s="38"/>
      <c r="AV69" s="38"/>
      <c r="AW69" s="38" t="s">
        <v>266</v>
      </c>
    </row>
    <row r="70" spans="15:49" x14ac:dyDescent="0.25">
      <c r="O70" s="13" t="s">
        <v>151</v>
      </c>
      <c r="P70" s="219">
        <v>30</v>
      </c>
      <c r="AU70" s="38"/>
      <c r="AV70" s="38"/>
      <c r="AW70" s="38" t="s">
        <v>266</v>
      </c>
    </row>
    <row r="71" spans="15:49" hidden="1" x14ac:dyDescent="0.25">
      <c r="AU71" s="38"/>
      <c r="AV71" s="38"/>
    </row>
    <row r="72" spans="15:49" hidden="1" x14ac:dyDescent="0.25">
      <c r="O72" s="225" t="s">
        <v>346</v>
      </c>
      <c r="P72" s="225"/>
      <c r="AU72" s="38"/>
      <c r="AV72" s="38"/>
    </row>
    <row r="73" spans="15:49" hidden="1" x14ac:dyDescent="0.25">
      <c r="O73" s="38" t="s">
        <v>276</v>
      </c>
      <c r="P73" s="38">
        <v>34.11</v>
      </c>
      <c r="AU73" s="38"/>
      <c r="AV73" s="38"/>
    </row>
    <row r="74" spans="15:49" hidden="1" x14ac:dyDescent="0.25">
      <c r="O74" s="38" t="s">
        <v>272</v>
      </c>
      <c r="P74" s="38">
        <v>29.43</v>
      </c>
      <c r="AU74" s="38"/>
      <c r="AV74" s="38"/>
    </row>
    <row r="75" spans="15:49" hidden="1" x14ac:dyDescent="0.25">
      <c r="O75" s="38" t="s">
        <v>273</v>
      </c>
      <c r="P75" s="38">
        <v>20.03</v>
      </c>
      <c r="AU75" s="38"/>
      <c r="AV75" s="38"/>
    </row>
    <row r="76" spans="15:49" hidden="1" x14ac:dyDescent="0.25">
      <c r="O76" s="38" t="s">
        <v>274</v>
      </c>
      <c r="P76" s="38">
        <v>15.08</v>
      </c>
      <c r="AU76" s="38"/>
      <c r="AV76" s="38"/>
    </row>
    <row r="77" spans="15:49" hidden="1" x14ac:dyDescent="0.25">
      <c r="O77" s="38" t="s">
        <v>275</v>
      </c>
      <c r="P77" s="38">
        <v>105.25</v>
      </c>
      <c r="AU77" s="38"/>
      <c r="AV77" s="38"/>
    </row>
    <row r="78" spans="15:49" hidden="1" x14ac:dyDescent="0.25">
      <c r="O78" s="38" t="s">
        <v>277</v>
      </c>
      <c r="P78" s="38">
        <v>764.37</v>
      </c>
      <c r="AU78" s="38"/>
      <c r="AV78" s="38"/>
    </row>
    <row r="79" spans="15:49" hidden="1" x14ac:dyDescent="0.25">
      <c r="O79" s="38" t="s">
        <v>278</v>
      </c>
      <c r="P79" s="38">
        <v>764.37</v>
      </c>
      <c r="AU79" s="38"/>
      <c r="AV79" s="38"/>
    </row>
    <row r="80" spans="15:49" hidden="1" x14ac:dyDescent="0.25">
      <c r="O80" s="38" t="s">
        <v>279</v>
      </c>
      <c r="P80" s="38">
        <v>781.15</v>
      </c>
      <c r="AU80" s="38"/>
      <c r="AV80" s="38"/>
    </row>
    <row r="81" spans="15:48" hidden="1" x14ac:dyDescent="0.25">
      <c r="O81" s="38" t="s">
        <v>280</v>
      </c>
      <c r="P81" s="38">
        <v>781.15</v>
      </c>
      <c r="AU81" s="38"/>
      <c r="AV81" s="38"/>
    </row>
    <row r="82" spans="15:48" hidden="1" x14ac:dyDescent="0.25">
      <c r="O82" s="38" t="s">
        <v>281</v>
      </c>
      <c r="P82" s="38">
        <v>781.15</v>
      </c>
      <c r="AU82" s="38"/>
      <c r="AV82" s="38"/>
    </row>
    <row r="83" spans="15:48" hidden="1" x14ac:dyDescent="0.25">
      <c r="O83" s="38" t="s">
        <v>282</v>
      </c>
      <c r="P83" s="38">
        <v>790.59</v>
      </c>
      <c r="AU83" s="38"/>
      <c r="AV83" s="38"/>
    </row>
    <row r="84" spans="15:48" hidden="1" x14ac:dyDescent="0.25">
      <c r="O84" s="38" t="s">
        <v>283</v>
      </c>
      <c r="P84" s="38">
        <v>660.07</v>
      </c>
      <c r="AU84" s="38"/>
      <c r="AV84" s="38"/>
    </row>
    <row r="85" spans="15:48" hidden="1" x14ac:dyDescent="0.25">
      <c r="O85" s="38" t="s">
        <v>284</v>
      </c>
      <c r="P85" s="38">
        <f>+P84</f>
        <v>660.07</v>
      </c>
      <c r="AU85" s="38"/>
      <c r="AV85" s="38"/>
    </row>
    <row r="86" spans="15:48" hidden="1" x14ac:dyDescent="0.25">
      <c r="O86" s="38" t="s">
        <v>285</v>
      </c>
      <c r="P86" s="38">
        <v>535.99</v>
      </c>
      <c r="AU86" s="38"/>
      <c r="AV86" s="38"/>
    </row>
    <row r="87" spans="15:48" hidden="1" x14ac:dyDescent="0.25">
      <c r="O87" s="38" t="s">
        <v>286</v>
      </c>
      <c r="P87" s="38">
        <f>+P86</f>
        <v>535.99</v>
      </c>
      <c r="AU87" s="38"/>
      <c r="AV87" s="38"/>
    </row>
    <row r="88" spans="15:48" hidden="1" x14ac:dyDescent="0.25">
      <c r="O88" s="38" t="s">
        <v>287</v>
      </c>
      <c r="P88" s="38">
        <v>577.42999999999995</v>
      </c>
      <c r="AU88" s="38"/>
      <c r="AV88" s="38"/>
    </row>
    <row r="89" spans="15:48" hidden="1" x14ac:dyDescent="0.25">
      <c r="O89" s="38" t="s">
        <v>288</v>
      </c>
      <c r="P89" s="38">
        <v>535.36</v>
      </c>
      <c r="AU89" s="38"/>
      <c r="AV89" s="38"/>
    </row>
    <row r="90" spans="15:48" hidden="1" x14ac:dyDescent="0.25">
      <c r="O90" s="38" t="s">
        <v>289</v>
      </c>
      <c r="P90" s="38">
        <v>536.98</v>
      </c>
      <c r="AU90" s="38"/>
      <c r="AV90" s="38"/>
    </row>
    <row r="91" spans="15:48" hidden="1" x14ac:dyDescent="0.25">
      <c r="O91" s="38" t="s">
        <v>290</v>
      </c>
      <c r="P91" s="38">
        <v>570.01</v>
      </c>
      <c r="AU91" s="38"/>
      <c r="AV91" s="38"/>
    </row>
    <row r="92" spans="15:48" hidden="1" x14ac:dyDescent="0.25">
      <c r="O92" s="38" t="s">
        <v>291</v>
      </c>
      <c r="P92" s="38">
        <v>633.76</v>
      </c>
      <c r="AU92" s="38"/>
      <c r="AV92" s="38"/>
    </row>
    <row r="93" spans="15:48" hidden="1" x14ac:dyDescent="0.25">
      <c r="O93" s="38" t="s">
        <v>292</v>
      </c>
      <c r="P93" s="38">
        <v>29.43</v>
      </c>
      <c r="AU93" s="38"/>
      <c r="AV93" s="38"/>
    </row>
    <row r="94" spans="15:48" hidden="1" x14ac:dyDescent="0.25">
      <c r="O94" s="38" t="s">
        <v>293</v>
      </c>
      <c r="P94" s="38">
        <v>29.43</v>
      </c>
      <c r="AU94" s="38"/>
      <c r="AV94" s="38"/>
    </row>
    <row r="95" spans="15:48" hidden="1" x14ac:dyDescent="0.25">
      <c r="O95" s="38" t="s">
        <v>294</v>
      </c>
      <c r="P95" s="38">
        <v>28.35</v>
      </c>
      <c r="AU95" s="38"/>
      <c r="AV95" s="38"/>
    </row>
    <row r="96" spans="15:48" hidden="1" x14ac:dyDescent="0.25">
      <c r="O96" s="38" t="s">
        <v>295</v>
      </c>
      <c r="P96" s="38">
        <v>28.35</v>
      </c>
      <c r="AU96" s="38"/>
      <c r="AV96" s="38"/>
    </row>
    <row r="97" spans="15:50" hidden="1" x14ac:dyDescent="0.25">
      <c r="O97" s="38" t="s">
        <v>296</v>
      </c>
      <c r="P97" s="38">
        <v>28.35</v>
      </c>
      <c r="AU97" s="38"/>
      <c r="AV97" s="38"/>
    </row>
    <row r="98" spans="15:50" hidden="1" x14ac:dyDescent="0.25">
      <c r="O98" s="38" t="s">
        <v>297</v>
      </c>
      <c r="P98" s="38">
        <v>25.41</v>
      </c>
      <c r="AU98" s="38"/>
      <c r="AV98" s="38"/>
    </row>
    <row r="99" spans="15:50" hidden="1" x14ac:dyDescent="0.25">
      <c r="O99" s="38" t="s">
        <v>298</v>
      </c>
      <c r="P99" s="38">
        <v>19.829999999999998</v>
      </c>
      <c r="AU99" s="38"/>
      <c r="AV99" s="38"/>
    </row>
    <row r="100" spans="15:50" hidden="1" x14ac:dyDescent="0.25">
      <c r="O100" s="38" t="s">
        <v>299</v>
      </c>
      <c r="P100" s="38">
        <v>15.08</v>
      </c>
      <c r="AU100" s="38"/>
      <c r="AV100" s="38"/>
    </row>
    <row r="101" spans="15:50" hidden="1" x14ac:dyDescent="0.25">
      <c r="O101" s="221" t="s">
        <v>300</v>
      </c>
      <c r="P101" s="221" t="s">
        <v>301</v>
      </c>
      <c r="AU101" s="38"/>
      <c r="AV101" s="38"/>
      <c r="AW101" s="221" t="s">
        <v>302</v>
      </c>
      <c r="AX101" s="221" t="s">
        <v>303</v>
      </c>
    </row>
    <row r="102" spans="15:50" hidden="1" x14ac:dyDescent="0.25">
      <c r="O102" s="221" t="s">
        <v>120</v>
      </c>
      <c r="P102" s="221">
        <v>105.57</v>
      </c>
      <c r="AU102" s="38"/>
      <c r="AV102" s="38"/>
      <c r="AW102" s="221">
        <v>351.48</v>
      </c>
      <c r="AX102" s="221">
        <v>24.77</v>
      </c>
    </row>
    <row r="103" spans="15:50" hidden="1" x14ac:dyDescent="0.25">
      <c r="O103" s="221" t="s">
        <v>119</v>
      </c>
      <c r="P103" s="221">
        <v>69.180000000000007</v>
      </c>
      <c r="AU103" s="38"/>
      <c r="AV103" s="38"/>
      <c r="AW103" s="221">
        <v>230.33</v>
      </c>
      <c r="AX103" s="221">
        <v>16.260000000000002</v>
      </c>
    </row>
    <row r="104" spans="15:50" hidden="1" x14ac:dyDescent="0.25">
      <c r="O104" s="221" t="s">
        <v>118</v>
      </c>
      <c r="P104" s="221">
        <v>54.66</v>
      </c>
      <c r="AU104" s="38"/>
      <c r="AV104" s="38"/>
      <c r="AW104" s="221">
        <v>181.87</v>
      </c>
      <c r="AX104" s="221">
        <v>12.88</v>
      </c>
    </row>
    <row r="105" spans="15:50" hidden="1" x14ac:dyDescent="0.25">
      <c r="O105" s="222" t="s">
        <v>304</v>
      </c>
      <c r="P105" s="222" t="s">
        <v>309</v>
      </c>
      <c r="AU105" s="38"/>
      <c r="AV105" s="38"/>
      <c r="AW105" s="222" t="s">
        <v>310</v>
      </c>
    </row>
    <row r="106" spans="15:50" hidden="1" x14ac:dyDescent="0.25">
      <c r="O106" s="222" t="s">
        <v>305</v>
      </c>
      <c r="P106" s="222">
        <v>942.53</v>
      </c>
      <c r="AU106" s="38"/>
      <c r="AV106" s="38"/>
      <c r="AW106" s="222">
        <v>1692.75</v>
      </c>
    </row>
    <row r="107" spans="15:50" hidden="1" x14ac:dyDescent="0.25">
      <c r="O107" s="222" t="s">
        <v>306</v>
      </c>
      <c r="P107" s="222">
        <v>942.53</v>
      </c>
      <c r="AU107" s="38"/>
      <c r="AV107" s="38"/>
      <c r="AW107" s="222">
        <f>+AW106</f>
        <v>1692.75</v>
      </c>
    </row>
    <row r="108" spans="15:50" hidden="1" x14ac:dyDescent="0.25">
      <c r="O108" s="222" t="s">
        <v>307</v>
      </c>
      <c r="P108" s="222">
        <v>790.59</v>
      </c>
      <c r="AU108" s="38"/>
      <c r="AV108" s="38"/>
      <c r="AW108" s="222">
        <v>1546.05</v>
      </c>
    </row>
    <row r="109" spans="15:50" hidden="1" x14ac:dyDescent="0.25">
      <c r="O109" s="222" t="s">
        <v>308</v>
      </c>
      <c r="P109" s="222">
        <v>790.59</v>
      </c>
      <c r="AU109" s="38"/>
      <c r="AV109" s="38"/>
      <c r="AW109" s="222">
        <f>+AW108</f>
        <v>1546.05</v>
      </c>
    </row>
    <row r="110" spans="15:50" hidden="1" x14ac:dyDescent="0.25">
      <c r="O110" s="38" t="s">
        <v>311</v>
      </c>
      <c r="P110" s="38">
        <v>32.659999999999997</v>
      </c>
      <c r="AU110" s="38"/>
      <c r="AV110" s="38"/>
    </row>
    <row r="111" spans="15:50" hidden="1" x14ac:dyDescent="0.25">
      <c r="O111" s="38" t="s">
        <v>312</v>
      </c>
      <c r="P111" s="38">
        <v>28.27</v>
      </c>
      <c r="AU111" s="38"/>
      <c r="AV111" s="38"/>
    </row>
    <row r="112" spans="15:50" hidden="1" x14ac:dyDescent="0.25">
      <c r="O112" s="38" t="s">
        <v>313</v>
      </c>
      <c r="P112" s="38">
        <v>541.66999999999996</v>
      </c>
      <c r="AU112" s="38"/>
      <c r="AV112" s="38"/>
    </row>
    <row r="113" spans="15:49" hidden="1" x14ac:dyDescent="0.25">
      <c r="O113" s="38" t="s">
        <v>314</v>
      </c>
      <c r="P113" s="38">
        <v>292.29000000000002</v>
      </c>
      <c r="AU113" s="38"/>
      <c r="AV113" s="38"/>
    </row>
    <row r="114" spans="15:49" hidden="1" x14ac:dyDescent="0.25">
      <c r="O114" s="38" t="s">
        <v>315</v>
      </c>
      <c r="P114" s="38">
        <f>+P113</f>
        <v>292.29000000000002</v>
      </c>
      <c r="AU114" s="38"/>
      <c r="AV114" s="38"/>
    </row>
    <row r="115" spans="15:49" hidden="1" x14ac:dyDescent="0.25">
      <c r="O115" s="38" t="s">
        <v>316</v>
      </c>
      <c r="P115" s="38">
        <f>+P114</f>
        <v>292.29000000000002</v>
      </c>
      <c r="AU115" s="38"/>
      <c r="AV115" s="38"/>
    </row>
    <row r="116" spans="15:49" hidden="1" x14ac:dyDescent="0.25">
      <c r="O116" s="38" t="s">
        <v>317</v>
      </c>
      <c r="P116" s="38">
        <v>210.71</v>
      </c>
      <c r="AU116" s="38"/>
      <c r="AV116" s="38"/>
    </row>
    <row r="117" spans="15:49" hidden="1" x14ac:dyDescent="0.25">
      <c r="O117" s="38" t="s">
        <v>320</v>
      </c>
      <c r="P117" s="38">
        <v>141.69</v>
      </c>
      <c r="AU117" s="38"/>
      <c r="AV117" s="38"/>
    </row>
    <row r="118" spans="15:49" hidden="1" x14ac:dyDescent="0.25">
      <c r="O118" s="38" t="s">
        <v>318</v>
      </c>
      <c r="P118" s="38">
        <v>70.89</v>
      </c>
      <c r="AU118" s="38"/>
      <c r="AV118" s="38"/>
    </row>
    <row r="119" spans="15:49" hidden="1" x14ac:dyDescent="0.25">
      <c r="O119" s="38" t="s">
        <v>319</v>
      </c>
      <c r="P119" s="38">
        <v>122.79</v>
      </c>
      <c r="AU119" s="38"/>
      <c r="AV119" s="38"/>
    </row>
    <row r="120" spans="15:49" hidden="1" x14ac:dyDescent="0.25">
      <c r="AU120" s="38"/>
      <c r="AV120" s="38"/>
    </row>
    <row r="121" spans="15:49" hidden="1" x14ac:dyDescent="0.25">
      <c r="O121" s="223" t="s">
        <v>323</v>
      </c>
      <c r="P121" s="223" t="s">
        <v>321</v>
      </c>
      <c r="AU121" s="38"/>
      <c r="AV121" s="38"/>
      <c r="AW121" s="223" t="s">
        <v>322</v>
      </c>
    </row>
    <row r="122" spans="15:49" hidden="1" x14ac:dyDescent="0.25">
      <c r="O122" s="223" t="s">
        <v>324</v>
      </c>
      <c r="P122" s="223">
        <v>3057.27</v>
      </c>
      <c r="AU122" s="38"/>
      <c r="AV122" s="38"/>
      <c r="AW122" s="223">
        <v>3396.51</v>
      </c>
    </row>
    <row r="123" spans="15:49" hidden="1" x14ac:dyDescent="0.25">
      <c r="O123" s="223" t="s">
        <v>325</v>
      </c>
      <c r="P123" s="223">
        <v>2880.26</v>
      </c>
      <c r="AU123" s="38"/>
      <c r="AV123" s="38"/>
      <c r="AW123" s="223">
        <v>3185.57</v>
      </c>
    </row>
    <row r="124" spans="15:49" hidden="1" x14ac:dyDescent="0.25">
      <c r="O124" s="223" t="s">
        <v>326</v>
      </c>
      <c r="P124" s="223">
        <v>2783.34</v>
      </c>
      <c r="AU124" s="38"/>
      <c r="AV124" s="38"/>
      <c r="AW124" s="223">
        <v>3088.65</v>
      </c>
    </row>
    <row r="125" spans="15:49" hidden="1" x14ac:dyDescent="0.25">
      <c r="O125" s="223" t="s">
        <v>327</v>
      </c>
      <c r="P125" s="223">
        <v>2875.7</v>
      </c>
      <c r="AU125" s="38"/>
      <c r="AV125" s="38"/>
      <c r="AW125" s="223">
        <v>3181.01</v>
      </c>
    </row>
    <row r="126" spans="15:49" hidden="1" x14ac:dyDescent="0.25">
      <c r="AU126" s="38"/>
      <c r="AV126" s="38"/>
    </row>
    <row r="127" spans="15:49" hidden="1" x14ac:dyDescent="0.25">
      <c r="O127" s="224" t="s">
        <v>328</v>
      </c>
      <c r="P127" s="224">
        <v>1000</v>
      </c>
      <c r="AU127" s="38"/>
      <c r="AV127" s="38"/>
    </row>
    <row r="128" spans="15:49" hidden="1" x14ac:dyDescent="0.25">
      <c r="O128" s="224" t="s">
        <v>329</v>
      </c>
      <c r="P128" s="224">
        <v>579.02</v>
      </c>
      <c r="AU128" s="38"/>
      <c r="AV128" s="38"/>
    </row>
    <row r="129" spans="15:50" hidden="1" x14ac:dyDescent="0.25">
      <c r="O129" s="224" t="s">
        <v>330</v>
      </c>
      <c r="P129" s="224">
        <v>4139.3999999999996</v>
      </c>
      <c r="AU129" s="38"/>
      <c r="AV129" s="38"/>
    </row>
    <row r="130" spans="15:50" hidden="1" x14ac:dyDescent="0.25">
      <c r="O130" s="224" t="s">
        <v>331</v>
      </c>
      <c r="P130" s="224">
        <v>137.97999999999999</v>
      </c>
      <c r="AU130" s="38"/>
      <c r="AV130" s="38"/>
    </row>
    <row r="131" spans="15:50" hidden="1" x14ac:dyDescent="0.25">
      <c r="O131" s="224" t="s">
        <v>332</v>
      </c>
      <c r="P131" s="224">
        <v>1125.9000000000001</v>
      </c>
      <c r="AU131" s="38"/>
      <c r="AV131" s="38"/>
    </row>
    <row r="132" spans="15:50" hidden="1" x14ac:dyDescent="0.25">
      <c r="AU132" s="38"/>
      <c r="AV132" s="38"/>
    </row>
    <row r="133" spans="15:50" hidden="1" x14ac:dyDescent="0.25">
      <c r="O133" s="38" t="s">
        <v>333</v>
      </c>
      <c r="P133" s="38" t="s">
        <v>2</v>
      </c>
      <c r="AU133" s="38"/>
      <c r="AV133" s="38"/>
      <c r="AW133" s="38" t="s">
        <v>334</v>
      </c>
      <c r="AX133" s="38" t="s">
        <v>335</v>
      </c>
    </row>
    <row r="134" spans="15:50" hidden="1" x14ac:dyDescent="0.25">
      <c r="O134" s="38" t="s">
        <v>337</v>
      </c>
      <c r="P134" s="38">
        <v>1780.25</v>
      </c>
      <c r="AU134" s="38"/>
      <c r="AV134" s="38"/>
      <c r="AW134" s="38">
        <v>92.77</v>
      </c>
      <c r="AX134" s="38">
        <v>168.99</v>
      </c>
    </row>
    <row r="135" spans="15:50" hidden="1" x14ac:dyDescent="0.25">
      <c r="O135" s="38" t="s">
        <v>336</v>
      </c>
      <c r="P135" s="38">
        <v>1405.94</v>
      </c>
      <c r="AU135" s="38"/>
      <c r="AV135" s="38"/>
      <c r="AW135" s="38">
        <v>81.150000000000006</v>
      </c>
      <c r="AX135" s="38">
        <v>112.8</v>
      </c>
    </row>
    <row r="136" spans="15:50" hidden="1" x14ac:dyDescent="0.25">
      <c r="AU136" s="38"/>
      <c r="AV136" s="38"/>
    </row>
    <row r="137" spans="15:50" hidden="1" x14ac:dyDescent="0.25">
      <c r="O137" s="38" t="s">
        <v>333</v>
      </c>
      <c r="P137" s="38" t="s">
        <v>338</v>
      </c>
      <c r="AU137" s="38"/>
      <c r="AV137" s="38"/>
      <c r="AW137" s="38" t="s">
        <v>339</v>
      </c>
      <c r="AX137" s="38" t="s">
        <v>340</v>
      </c>
    </row>
    <row r="138" spans="15:50" hidden="1" x14ac:dyDescent="0.25">
      <c r="O138" s="38" t="s">
        <v>337</v>
      </c>
      <c r="P138" s="38">
        <v>3.65</v>
      </c>
      <c r="AU138" s="38"/>
      <c r="AV138" s="38"/>
      <c r="AW138" s="38">
        <v>1126.33</v>
      </c>
      <c r="AX138" s="38">
        <v>14.98</v>
      </c>
    </row>
    <row r="139" spans="15:50" hidden="1" x14ac:dyDescent="0.25">
      <c r="O139" s="38" t="s">
        <v>336</v>
      </c>
      <c r="P139" s="38">
        <v>4.6500000000000004</v>
      </c>
      <c r="AU139" s="38"/>
      <c r="AV139" s="38"/>
      <c r="AW139" s="38">
        <v>896.81</v>
      </c>
      <c r="AX139" s="38">
        <v>19.649999999999999</v>
      </c>
    </row>
    <row r="140" spans="15:50" hidden="1" x14ac:dyDescent="0.25">
      <c r="AU140" s="38"/>
      <c r="AV140" s="38"/>
    </row>
    <row r="141" spans="15:50" hidden="1" x14ac:dyDescent="0.25">
      <c r="P141" s="38" t="s">
        <v>341</v>
      </c>
      <c r="AU141" s="38"/>
      <c r="AV141" s="38"/>
      <c r="AW141" s="38" t="s">
        <v>342</v>
      </c>
    </row>
    <row r="142" spans="15:50" hidden="1" x14ac:dyDescent="0.25">
      <c r="O142" s="38" t="s">
        <v>333</v>
      </c>
      <c r="P142" s="38">
        <v>31.96</v>
      </c>
      <c r="AU142" s="38"/>
      <c r="AV142" s="38"/>
      <c r="AW142" s="38">
        <v>56.75</v>
      </c>
    </row>
    <row r="143" spans="15:50" hidden="1" x14ac:dyDescent="0.25">
      <c r="AU143" s="38"/>
      <c r="AV143" s="38"/>
    </row>
    <row r="144" spans="15:50" hidden="1" x14ac:dyDescent="0.25">
      <c r="AU144" s="38"/>
      <c r="AV144" s="38"/>
    </row>
    <row r="145" spans="15:48" hidden="1" x14ac:dyDescent="0.25">
      <c r="O145" s="38" t="s">
        <v>343</v>
      </c>
      <c r="P145" s="38">
        <v>46.88</v>
      </c>
      <c r="AU145" s="38"/>
      <c r="AV145" s="38"/>
    </row>
    <row r="146" spans="15:48" hidden="1" x14ac:dyDescent="0.25">
      <c r="O146" s="38" t="s">
        <v>344</v>
      </c>
      <c r="P146" s="38" t="s">
        <v>345</v>
      </c>
      <c r="AU146" s="38"/>
      <c r="AV146" s="38"/>
    </row>
    <row r="147" spans="15:48" hidden="1" x14ac:dyDescent="0.25">
      <c r="AU147" s="38"/>
      <c r="AV147" s="38"/>
    </row>
    <row r="148" spans="15:48" hidden="1" x14ac:dyDescent="0.25">
      <c r="AU148" s="38"/>
      <c r="AV148" s="38"/>
    </row>
    <row r="149" spans="15:48" hidden="1" x14ac:dyDescent="0.25">
      <c r="AU149" s="38"/>
      <c r="AV149" s="38"/>
    </row>
    <row r="150" spans="15:48" hidden="1" x14ac:dyDescent="0.25">
      <c r="AU150" s="38"/>
      <c r="AV150" s="38"/>
    </row>
    <row r="151" spans="15:48" x14ac:dyDescent="0.25">
      <c r="AU151" s="38"/>
      <c r="AV151" s="38"/>
    </row>
    <row r="152" spans="15:48" x14ac:dyDescent="0.25">
      <c r="AU152" s="38"/>
      <c r="AV152" s="38"/>
    </row>
    <row r="153" spans="15:48" x14ac:dyDescent="0.25">
      <c r="AU153" s="38"/>
      <c r="AV153" s="38"/>
    </row>
    <row r="154" spans="15:48" x14ac:dyDescent="0.25">
      <c r="AU154" s="38"/>
      <c r="AV154" s="38"/>
    </row>
    <row r="155" spans="15:48" x14ac:dyDescent="0.25">
      <c r="AU155" s="38"/>
      <c r="AV155" s="38"/>
    </row>
    <row r="156" spans="15:48" x14ac:dyDescent="0.25">
      <c r="AU156" s="38"/>
      <c r="AV156" s="38"/>
    </row>
    <row r="157" spans="15:48" x14ac:dyDescent="0.25">
      <c r="AU157" s="38"/>
      <c r="AV157" s="38"/>
    </row>
    <row r="158" spans="15:48" x14ac:dyDescent="0.25">
      <c r="AU158" s="38"/>
      <c r="AV158" s="38"/>
    </row>
    <row r="159" spans="15:48" x14ac:dyDescent="0.25">
      <c r="AU159" s="38"/>
      <c r="AV159" s="38"/>
    </row>
    <row r="160" spans="15:48" x14ac:dyDescent="0.25">
      <c r="AU160" s="38"/>
      <c r="AV160" s="38"/>
    </row>
    <row r="161" s="38" customFormat="1" x14ac:dyDescent="0.25"/>
    <row r="162" s="38" customFormat="1" x14ac:dyDescent="0.25"/>
    <row r="163" s="38" customFormat="1" x14ac:dyDescent="0.25"/>
    <row r="164" s="38" customFormat="1" x14ac:dyDescent="0.25"/>
    <row r="165" s="38" customFormat="1" x14ac:dyDescent="0.25"/>
    <row r="166" s="38" customFormat="1" x14ac:dyDescent="0.25"/>
    <row r="167" s="38" customFormat="1" x14ac:dyDescent="0.25"/>
    <row r="168" s="38" customFormat="1" x14ac:dyDescent="0.25"/>
    <row r="169" s="38" customFormat="1" x14ac:dyDescent="0.25"/>
    <row r="170" s="38" customFormat="1" x14ac:dyDescent="0.25"/>
    <row r="171" s="38" customFormat="1" x14ac:dyDescent="0.25"/>
  </sheetData>
  <sheetProtection algorithmName="SHA-512" hashValue="hwgkRyYWOVmD3jCZd6OshkA6fnZhIaF9tiOMxHB/p0NcloFWjHUErkVmSAEJbTzykrMQJBQeoHcM+co+fQA5lA==" saltValue="wv1sDlzfzGR1AUPt+BWunQ==" spinCount="100000" sheet="1" selectLockedCells="1" selectUnlockedCells="1"/>
  <mergeCells count="1">
    <mergeCell ref="B1:M1"/>
  </mergeCells>
  <phoneticPr fontId="33" type="noConversion"/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3B3E4-8612-483A-979E-0F459B333777}">
  <dimension ref="B1:Z21"/>
  <sheetViews>
    <sheetView workbookViewId="0">
      <selection sqref="A1:XFD1048576"/>
    </sheetView>
  </sheetViews>
  <sheetFormatPr baseColWidth="10" defaultRowHeight="15" x14ac:dyDescent="0.25"/>
  <cols>
    <col min="2" max="2" width="22.140625" customWidth="1"/>
    <col min="3" max="3" width="9.5703125" customWidth="1"/>
    <col min="8" max="8" width="13.140625" bestFit="1" customWidth="1"/>
  </cols>
  <sheetData>
    <row r="1" spans="2:26" x14ac:dyDescent="0.25">
      <c r="B1" s="193" t="s">
        <v>256</v>
      </c>
      <c r="C1" s="201" t="s">
        <v>257</v>
      </c>
      <c r="D1" s="201" t="s">
        <v>257</v>
      </c>
      <c r="E1" s="201" t="s">
        <v>44</v>
      </c>
      <c r="F1" s="201" t="s">
        <v>44</v>
      </c>
      <c r="G1" s="201" t="s">
        <v>260</v>
      </c>
      <c r="H1" s="201" t="s">
        <v>261</v>
      </c>
    </row>
    <row r="2" spans="2:26" x14ac:dyDescent="0.25">
      <c r="B2" s="193"/>
      <c r="C2" s="201" t="s">
        <v>248</v>
      </c>
      <c r="D2" s="201" t="s">
        <v>217</v>
      </c>
      <c r="E2" s="201" t="s">
        <v>248</v>
      </c>
      <c r="F2" s="201" t="s">
        <v>217</v>
      </c>
      <c r="G2" s="201"/>
      <c r="H2" s="201"/>
    </row>
    <row r="3" spans="2:26" x14ac:dyDescent="0.25">
      <c r="B3" s="201" t="s">
        <v>254</v>
      </c>
      <c r="C3" s="214">
        <v>14864.16</v>
      </c>
      <c r="D3" s="214">
        <f>+C3/12</f>
        <v>1238.68</v>
      </c>
      <c r="E3" s="193">
        <v>572.04</v>
      </c>
      <c r="F3" s="214">
        <f>+E3/12</f>
        <v>47.669999999999995</v>
      </c>
      <c r="G3" s="193">
        <v>764.37</v>
      </c>
      <c r="H3" s="193">
        <v>29.43</v>
      </c>
    </row>
    <row r="4" spans="2:26" x14ac:dyDescent="0.25">
      <c r="B4" s="201" t="s">
        <v>255</v>
      </c>
      <c r="C4" s="214">
        <v>12852.72</v>
      </c>
      <c r="D4" s="214">
        <f t="shared" ref="D4:F8" si="0">+C4/12</f>
        <v>1071.06</v>
      </c>
      <c r="E4" s="193">
        <v>466.56</v>
      </c>
      <c r="F4" s="214">
        <f t="shared" si="0"/>
        <v>38.880000000000003</v>
      </c>
      <c r="G4" s="193">
        <v>781.15</v>
      </c>
      <c r="H4" s="193">
        <v>28.35</v>
      </c>
    </row>
    <row r="5" spans="2:26" x14ac:dyDescent="0.25">
      <c r="B5" s="201" t="s">
        <v>121</v>
      </c>
      <c r="C5" s="214">
        <v>11235</v>
      </c>
      <c r="D5" s="214">
        <f t="shared" si="0"/>
        <v>936.25</v>
      </c>
      <c r="E5" s="193">
        <v>409.32</v>
      </c>
      <c r="F5" s="214">
        <f t="shared" si="0"/>
        <v>34.11</v>
      </c>
      <c r="G5" s="193">
        <v>809.2</v>
      </c>
      <c r="H5" s="193">
        <v>29.5</v>
      </c>
    </row>
    <row r="6" spans="2:26" x14ac:dyDescent="0.25">
      <c r="B6" s="201" t="s">
        <v>258</v>
      </c>
      <c r="C6" s="214">
        <v>9650.2800000000007</v>
      </c>
      <c r="D6" s="214">
        <f t="shared" si="0"/>
        <v>804.19</v>
      </c>
      <c r="E6" s="193">
        <v>353.16</v>
      </c>
      <c r="F6" s="214">
        <f t="shared" si="0"/>
        <v>29.430000000000003</v>
      </c>
      <c r="G6" s="193">
        <v>695.06</v>
      </c>
      <c r="H6" s="193">
        <v>25.41</v>
      </c>
    </row>
    <row r="7" spans="2:26" x14ac:dyDescent="0.25">
      <c r="B7" s="201" t="s">
        <v>259</v>
      </c>
      <c r="C7" s="214">
        <v>8031.6</v>
      </c>
      <c r="D7" s="214">
        <f t="shared" si="0"/>
        <v>669.30000000000007</v>
      </c>
      <c r="E7" s="193">
        <v>240.36</v>
      </c>
      <c r="F7" s="214">
        <f t="shared" si="0"/>
        <v>20.03</v>
      </c>
      <c r="G7" s="193">
        <v>663.2</v>
      </c>
      <c r="H7" s="193">
        <v>19.829999999999998</v>
      </c>
    </row>
    <row r="8" spans="2:26" x14ac:dyDescent="0.25">
      <c r="B8" s="201" t="s">
        <v>118</v>
      </c>
      <c r="C8" s="214">
        <v>7351.08</v>
      </c>
      <c r="D8" s="214">
        <f t="shared" si="0"/>
        <v>612.59</v>
      </c>
      <c r="E8" s="193">
        <v>180.96</v>
      </c>
      <c r="F8" s="214">
        <f t="shared" si="0"/>
        <v>15.08</v>
      </c>
      <c r="G8" s="193">
        <v>612.59</v>
      </c>
      <c r="H8" s="193">
        <v>15.08</v>
      </c>
    </row>
    <row r="11" spans="2:26" x14ac:dyDescent="0.25">
      <c r="C11" t="s">
        <v>262</v>
      </c>
      <c r="L11" s="186">
        <f>ROUNDUP(176.69*1.009,2)</f>
        <v>178.29</v>
      </c>
      <c r="M11" s="186">
        <f>ROUNDUP(159.08*1.009,2)</f>
        <v>160.51999999999998</v>
      </c>
      <c r="N11" s="186">
        <f>ROUNDUP(141.39*1.009,2)</f>
        <v>142.66999999999999</v>
      </c>
      <c r="O11" s="69">
        <f t="shared" ref="O11:Q13" si="1">+N11</f>
        <v>142.66999999999999</v>
      </c>
      <c r="P11" s="69">
        <f t="shared" si="1"/>
        <v>142.66999999999999</v>
      </c>
      <c r="Q11" s="69">
        <f t="shared" si="1"/>
        <v>142.66999999999999</v>
      </c>
      <c r="R11" s="186">
        <f>ROUNDUP(127.27*1.009,2)</f>
        <v>128.41999999999999</v>
      </c>
      <c r="S11" s="67"/>
      <c r="T11" s="186"/>
      <c r="U11" s="67"/>
    </row>
    <row r="12" spans="2:26" x14ac:dyDescent="0.25">
      <c r="C12" t="s">
        <v>248</v>
      </c>
      <c r="D12" t="s">
        <v>263</v>
      </c>
      <c r="L12" s="186">
        <f>ROUNDUP(588.76*1.009,2)</f>
        <v>594.05999999999995</v>
      </c>
      <c r="M12" s="186">
        <f>ROUNDUP(529.91*1.009,2)</f>
        <v>534.67999999999995</v>
      </c>
      <c r="N12" s="186">
        <f>ROUNDUP(471.02*1.009,2)</f>
        <v>475.26</v>
      </c>
      <c r="O12" s="69">
        <f t="shared" si="1"/>
        <v>475.26</v>
      </c>
      <c r="P12" s="69">
        <f t="shared" si="1"/>
        <v>475.26</v>
      </c>
      <c r="Q12" s="69">
        <f t="shared" si="1"/>
        <v>475.26</v>
      </c>
      <c r="R12" s="186">
        <f>ROUNDUP(423.92*1.009,2)</f>
        <v>427.74</v>
      </c>
      <c r="S12" s="67"/>
      <c r="T12" s="67"/>
      <c r="U12" s="67"/>
    </row>
    <row r="13" spans="2:26" x14ac:dyDescent="0.25">
      <c r="B13">
        <v>26</v>
      </c>
      <c r="C13" s="213">
        <v>9300.9599999999991</v>
      </c>
      <c r="D13">
        <f>+C13/12</f>
        <v>775.07999999999993</v>
      </c>
      <c r="L13" s="186">
        <f>ROUNDUP(41.34*1.009,2)</f>
        <v>41.72</v>
      </c>
      <c r="M13" s="186">
        <f>ROUNDUP(37.19*1.009,2)</f>
        <v>37.53</v>
      </c>
      <c r="N13" s="186">
        <f>ROUNDUP(33.12*1.009,2)</f>
        <v>33.419999999999995</v>
      </c>
      <c r="O13" s="69">
        <f t="shared" si="1"/>
        <v>33.419999999999995</v>
      </c>
      <c r="P13" s="69">
        <f t="shared" si="1"/>
        <v>33.419999999999995</v>
      </c>
      <c r="Q13" s="69">
        <f t="shared" si="1"/>
        <v>33.419999999999995</v>
      </c>
      <c r="R13" s="186">
        <f>ROUNDUP(29.78*1.009,2)</f>
        <v>30.05</v>
      </c>
      <c r="S13" s="67"/>
      <c r="T13" s="186"/>
      <c r="U13" s="186"/>
    </row>
    <row r="14" spans="2:26" x14ac:dyDescent="0.25">
      <c r="B14">
        <v>24</v>
      </c>
      <c r="C14" s="213">
        <v>7765.44</v>
      </c>
      <c r="D14">
        <f t="shared" ref="D14:D15" si="2">+C14/12</f>
        <v>647.12</v>
      </c>
    </row>
    <row r="15" spans="2:26" x14ac:dyDescent="0.25">
      <c r="B15">
        <v>21</v>
      </c>
      <c r="C15" s="213">
        <v>6305.76</v>
      </c>
      <c r="D15">
        <f t="shared" si="2"/>
        <v>525.48</v>
      </c>
      <c r="L15">
        <f>+L11*1.02</f>
        <v>181.85579999999999</v>
      </c>
      <c r="M15">
        <f t="shared" ref="M15:R15" si="3">+M11*1.02</f>
        <v>163.73039999999997</v>
      </c>
      <c r="N15">
        <f t="shared" si="3"/>
        <v>145.52339999999998</v>
      </c>
      <c r="O15">
        <f t="shared" si="3"/>
        <v>145.52339999999998</v>
      </c>
      <c r="P15">
        <f t="shared" si="3"/>
        <v>145.52339999999998</v>
      </c>
      <c r="Q15">
        <f t="shared" si="3"/>
        <v>145.52339999999998</v>
      </c>
      <c r="R15">
        <f t="shared" si="3"/>
        <v>130.98839999999998</v>
      </c>
    </row>
    <row r="16" spans="2:26" x14ac:dyDescent="0.25">
      <c r="L16">
        <f t="shared" ref="L16:R16" si="4">+L12*1.02</f>
        <v>605.94119999999998</v>
      </c>
      <c r="M16">
        <f t="shared" si="4"/>
        <v>545.37360000000001</v>
      </c>
      <c r="N16">
        <f t="shared" si="4"/>
        <v>484.76519999999999</v>
      </c>
      <c r="O16">
        <f t="shared" si="4"/>
        <v>484.76519999999999</v>
      </c>
      <c r="P16">
        <f t="shared" si="4"/>
        <v>484.76519999999999</v>
      </c>
      <c r="Q16">
        <f t="shared" si="4"/>
        <v>484.76519999999999</v>
      </c>
      <c r="R16">
        <f t="shared" si="4"/>
        <v>436.29480000000001</v>
      </c>
      <c r="Z16">
        <f>760/3</f>
        <v>253.33333333333334</v>
      </c>
    </row>
    <row r="17" spans="12:26" x14ac:dyDescent="0.25">
      <c r="L17">
        <f t="shared" ref="L17:R17" si="5">+L13*1.02</f>
        <v>42.554400000000001</v>
      </c>
      <c r="M17">
        <f t="shared" si="5"/>
        <v>38.2806</v>
      </c>
      <c r="N17">
        <f t="shared" si="5"/>
        <v>34.088399999999993</v>
      </c>
      <c r="O17">
        <f t="shared" si="5"/>
        <v>34.088399999999993</v>
      </c>
      <c r="P17">
        <f t="shared" si="5"/>
        <v>34.088399999999993</v>
      </c>
      <c r="Q17">
        <f t="shared" si="5"/>
        <v>34.088399999999993</v>
      </c>
      <c r="R17">
        <f t="shared" si="5"/>
        <v>30.651</v>
      </c>
      <c r="Z17">
        <f>+Z16*4</f>
        <v>1013.3333333333334</v>
      </c>
    </row>
    <row r="19" spans="12:26" x14ac:dyDescent="0.25">
      <c r="L19">
        <f>ROUNDUP(L15,2)</f>
        <v>181.85999999999999</v>
      </c>
      <c r="M19">
        <f t="shared" ref="M19:R19" si="6">ROUNDUP(M15,2)</f>
        <v>163.73999999999998</v>
      </c>
      <c r="N19">
        <f t="shared" si="6"/>
        <v>145.53</v>
      </c>
      <c r="O19">
        <f t="shared" si="6"/>
        <v>145.53</v>
      </c>
      <c r="P19">
        <f t="shared" si="6"/>
        <v>145.53</v>
      </c>
      <c r="Q19">
        <f t="shared" si="6"/>
        <v>145.53</v>
      </c>
      <c r="R19">
        <f t="shared" si="6"/>
        <v>130.98999999999998</v>
      </c>
    </row>
    <row r="20" spans="12:26" x14ac:dyDescent="0.25">
      <c r="L20">
        <f t="shared" ref="L20:R20" si="7">ROUNDUP(L16,2)</f>
        <v>605.95000000000005</v>
      </c>
      <c r="M20">
        <f t="shared" si="7"/>
        <v>545.38</v>
      </c>
      <c r="N20">
        <f t="shared" si="7"/>
        <v>484.77</v>
      </c>
      <c r="O20">
        <f t="shared" si="7"/>
        <v>484.77</v>
      </c>
      <c r="P20">
        <f t="shared" si="7"/>
        <v>484.77</v>
      </c>
      <c r="Q20">
        <f t="shared" si="7"/>
        <v>484.77</v>
      </c>
      <c r="R20">
        <f t="shared" si="7"/>
        <v>436.3</v>
      </c>
    </row>
    <row r="21" spans="12:26" x14ac:dyDescent="0.25">
      <c r="L21">
        <f t="shared" ref="L21:R21" si="8">ROUNDUP(L17,2)</f>
        <v>42.559999999999995</v>
      </c>
      <c r="M21">
        <f t="shared" si="8"/>
        <v>38.29</v>
      </c>
      <c r="N21">
        <f t="shared" si="8"/>
        <v>34.089999999999996</v>
      </c>
      <c r="O21">
        <f t="shared" si="8"/>
        <v>34.089999999999996</v>
      </c>
      <c r="P21">
        <f t="shared" si="8"/>
        <v>34.089999999999996</v>
      </c>
      <c r="Q21">
        <f t="shared" si="8"/>
        <v>34.089999999999996</v>
      </c>
      <c r="R21">
        <f t="shared" si="8"/>
        <v>30.66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0BBC2-AD28-40C3-9DDB-E2856547AD20}">
  <dimension ref="B1:P42"/>
  <sheetViews>
    <sheetView topLeftCell="A1048576" workbookViewId="0">
      <selection sqref="A1:XFD1048576"/>
    </sheetView>
  </sheetViews>
  <sheetFormatPr baseColWidth="10" defaultRowHeight="15" zeroHeight="1" x14ac:dyDescent="0.25"/>
  <cols>
    <col min="1" max="1" width="23.42578125" bestFit="1" customWidth="1"/>
    <col min="4" max="4" width="10.140625" bestFit="1" customWidth="1"/>
    <col min="9" max="9" width="6.28515625" customWidth="1"/>
    <col min="10" max="10" width="10.42578125" style="202" bestFit="1" customWidth="1"/>
    <col min="11" max="11" width="8.28515625" customWidth="1"/>
    <col min="12" max="12" width="8.140625" customWidth="1"/>
    <col min="15" max="15" width="12.140625" bestFit="1" customWidth="1"/>
  </cols>
  <sheetData>
    <row r="1" spans="2:16" ht="45" hidden="1" x14ac:dyDescent="0.25">
      <c r="I1" s="202" t="s">
        <v>248</v>
      </c>
      <c r="J1" s="192" t="s">
        <v>246</v>
      </c>
      <c r="K1" s="192" t="s">
        <v>249</v>
      </c>
      <c r="L1" s="192" t="s">
        <v>250</v>
      </c>
      <c r="M1" s="192" t="s">
        <v>251</v>
      </c>
      <c r="N1" s="192" t="s">
        <v>247</v>
      </c>
    </row>
    <row r="2" spans="2:16" ht="12.75" hidden="1" customHeight="1" x14ac:dyDescent="0.25">
      <c r="I2" s="193">
        <v>2008</v>
      </c>
      <c r="J2" s="194">
        <f t="shared" ref="J2:J13" si="0">+J3-1</f>
        <v>-2</v>
      </c>
      <c r="K2">
        <f>((IF(INT(+J2/6)=1,13.5,IF(INT(+J2/6)=2,28.5,IF(INT(+J2/6)=3,45.75,IF(INT(+J2/6)=4,65.25,IF(INT(+J2/6)&gt;4,75.75,0)))))))</f>
        <v>0</v>
      </c>
      <c r="M2">
        <f>((+L2-K2)*12)+((+(+L2-K2)*2)*78%)</f>
        <v>0</v>
      </c>
    </row>
    <row r="3" spans="2:16" ht="12.95" hidden="1" customHeight="1" x14ac:dyDescent="0.25">
      <c r="I3" s="193">
        <v>2009</v>
      </c>
      <c r="J3" s="194">
        <f t="shared" si="0"/>
        <v>-1</v>
      </c>
      <c r="K3">
        <f>((IF(INT(+J3/6)=1,31.5,IF(INT(+J3/6)=2,66.5,IF(INT(+J3/6)=3,106.75,IF(INT(+J3/6)=4,152.25,IF(INT(+J3/6)&gt;4,176.75,0)))))))</f>
        <v>0</v>
      </c>
      <c r="M3">
        <f t="shared" ref="M3:M42" si="1">((+L3-K3)*12)+((+(+L3-K3)*2)*78%)</f>
        <v>0</v>
      </c>
    </row>
    <row r="4" spans="2:16" ht="12.95" hidden="1" customHeight="1" x14ac:dyDescent="0.25">
      <c r="I4" s="193">
        <v>2010</v>
      </c>
      <c r="J4" s="194">
        <f t="shared" si="0"/>
        <v>0</v>
      </c>
      <c r="K4">
        <f>((IF(INT(+J4/6)=1,54,IF(INT(+J4/6)=2,114,IF(INT(+J4/6)=3,183,IF(INT(+J4/6)=4,261,IF(INT(+J4/6)&gt;4,303,0)))))))</f>
        <v>0</v>
      </c>
      <c r="M4">
        <f t="shared" si="1"/>
        <v>0</v>
      </c>
    </row>
    <row r="5" spans="2:16" ht="12.95" hidden="1" customHeight="1" x14ac:dyDescent="0.25">
      <c r="I5" s="193">
        <v>2011</v>
      </c>
      <c r="J5" s="194">
        <f t="shared" si="0"/>
        <v>1</v>
      </c>
      <c r="K5">
        <f>((IF(INT(+J5/6)=1,72,IF(INT(+J5/6)=2,152,IF(INT(+J5/6)=3,244,IF(INT(+J5/6)=4,348,IF(INT(+J5/6)&gt;4,404,0)))))))</f>
        <v>0</v>
      </c>
      <c r="M5">
        <f t="shared" si="1"/>
        <v>0</v>
      </c>
    </row>
    <row r="6" spans="2:16" ht="12.95" hidden="1" customHeight="1" x14ac:dyDescent="0.25">
      <c r="I6" s="193">
        <v>2012</v>
      </c>
      <c r="J6" s="194">
        <f t="shared" si="0"/>
        <v>2</v>
      </c>
      <c r="K6">
        <f>((IF(INT(+J6/6)=1,90,IF(INT(+J6/6)=2,190,IF(INT(+J6/6)=3,305,IF(INT(+J6/6)=4,435,IF(INT(+J6/6)&gt;4,505,0)))))))</f>
        <v>0</v>
      </c>
      <c r="M6">
        <f t="shared" si="1"/>
        <v>0</v>
      </c>
    </row>
    <row r="7" spans="2:16" hidden="1" x14ac:dyDescent="0.25">
      <c r="I7" s="193">
        <v>2013</v>
      </c>
      <c r="J7" s="194">
        <f t="shared" si="0"/>
        <v>3</v>
      </c>
      <c r="K7">
        <f>(IF(INT(+J7/6)=1,90,IF(INT(+J7/6)=2,190,IF(INT(+J7/6)=3,305,IF(INT(+J7/6)=4,435,IF(INT(+J7/6)&gt;4,505,0))))))</f>
        <v>0</v>
      </c>
      <c r="M7">
        <f t="shared" si="1"/>
        <v>0</v>
      </c>
    </row>
    <row r="8" spans="2:16" hidden="1" x14ac:dyDescent="0.25">
      <c r="I8" s="193">
        <v>2014</v>
      </c>
      <c r="J8" s="194">
        <f t="shared" si="0"/>
        <v>4</v>
      </c>
      <c r="K8">
        <f t="shared" ref="K8:K42" si="2">(IF(INT(+J8/6)=1,90,IF(INT(+J8/6)=2,190,IF(INT(+J8/6)=3,305,IF(INT(+J8/6)=4,435,IF(INT(+J8/6)&gt;4,505,0))))))</f>
        <v>0</v>
      </c>
      <c r="M8">
        <f t="shared" si="1"/>
        <v>0</v>
      </c>
    </row>
    <row r="9" spans="2:16" hidden="1" x14ac:dyDescent="0.25">
      <c r="I9" s="193">
        <v>2015</v>
      </c>
      <c r="J9" s="194">
        <f t="shared" si="0"/>
        <v>5</v>
      </c>
      <c r="K9">
        <f t="shared" si="2"/>
        <v>0</v>
      </c>
      <c r="M9">
        <f t="shared" si="1"/>
        <v>0</v>
      </c>
    </row>
    <row r="10" spans="2:16" hidden="1" x14ac:dyDescent="0.25">
      <c r="I10" s="193">
        <v>2016</v>
      </c>
      <c r="J10" s="194">
        <f t="shared" si="0"/>
        <v>6</v>
      </c>
      <c r="K10">
        <f t="shared" si="2"/>
        <v>90</v>
      </c>
      <c r="M10">
        <f t="shared" si="1"/>
        <v>-1220.4000000000001</v>
      </c>
    </row>
    <row r="11" spans="2:16" hidden="1" x14ac:dyDescent="0.25">
      <c r="C11">
        <v>2008</v>
      </c>
      <c r="D11">
        <v>2009</v>
      </c>
      <c r="E11">
        <v>2010</v>
      </c>
      <c r="F11">
        <v>2011</v>
      </c>
      <c r="G11">
        <v>2012</v>
      </c>
      <c r="I11" s="193">
        <v>2017</v>
      </c>
      <c r="J11" s="194">
        <f t="shared" si="0"/>
        <v>7</v>
      </c>
      <c r="K11">
        <f t="shared" si="2"/>
        <v>90</v>
      </c>
      <c r="M11">
        <f t="shared" si="1"/>
        <v>-1220.4000000000001</v>
      </c>
    </row>
    <row r="12" spans="2:16" hidden="1" x14ac:dyDescent="0.25">
      <c r="C12" s="195">
        <v>0.15</v>
      </c>
      <c r="D12" s="195">
        <v>0.35</v>
      </c>
      <c r="E12" s="195">
        <v>0.6</v>
      </c>
      <c r="F12" s="195">
        <v>0.8</v>
      </c>
      <c r="G12" s="195">
        <v>1</v>
      </c>
      <c r="I12" s="193">
        <v>2018</v>
      </c>
      <c r="J12" s="194">
        <f t="shared" si="0"/>
        <v>8</v>
      </c>
      <c r="K12">
        <f t="shared" si="2"/>
        <v>90</v>
      </c>
      <c r="L12">
        <f>(IF(INT(+J12/6)=1,30.25,IF(INT(+J12/6)=2,37.93,IF(INT(+J12/6)=3,52.33,IF(INT(+J12/6)=4,70.33,IF(INT(+J12/6)&gt;4,87.83,0))))))</f>
        <v>30.25</v>
      </c>
      <c r="M12">
        <f t="shared" si="1"/>
        <v>-810.21</v>
      </c>
    </row>
    <row r="13" spans="2:16" hidden="1" x14ac:dyDescent="0.25">
      <c r="B13" s="196">
        <v>90</v>
      </c>
      <c r="C13" s="193">
        <v>13.5</v>
      </c>
      <c r="D13" s="193">
        <v>31.499999999999996</v>
      </c>
      <c r="E13" s="193">
        <v>54</v>
      </c>
      <c r="F13" s="193">
        <v>72</v>
      </c>
      <c r="G13" s="193">
        <v>90</v>
      </c>
      <c r="I13" s="193">
        <v>2019</v>
      </c>
      <c r="J13" s="194">
        <f t="shared" si="0"/>
        <v>9</v>
      </c>
      <c r="K13">
        <f t="shared" si="2"/>
        <v>90</v>
      </c>
      <c r="L13">
        <f>(IF(INT(+J13/6)=1,55,IF(INT(+J13/6)=2,87,IF(INT(+J13/6)=3,99,IF(INT(+J13/6)=4,118.8,IF(INT(+J13/6)&gt;4,188.8,0))))))</f>
        <v>55</v>
      </c>
      <c r="M13">
        <f t="shared" si="1"/>
        <v>-474.6</v>
      </c>
    </row>
    <row r="14" spans="2:16" hidden="1" x14ac:dyDescent="0.25">
      <c r="B14" s="196">
        <v>190</v>
      </c>
      <c r="C14" s="193">
        <v>28.5</v>
      </c>
      <c r="D14" s="193">
        <v>66.5</v>
      </c>
      <c r="E14" s="193">
        <v>114</v>
      </c>
      <c r="F14" s="193">
        <v>152</v>
      </c>
      <c r="G14" s="193">
        <v>190</v>
      </c>
      <c r="I14" s="193">
        <v>2020</v>
      </c>
      <c r="J14" s="194">
        <f>+J15-1</f>
        <v>10</v>
      </c>
      <c r="K14">
        <f t="shared" si="2"/>
        <v>90</v>
      </c>
      <c r="L14">
        <f>(IF(INT(+J14/6)=1,55,IF(INT(+J14/6)=2,119,IF(INT(+J14/6)=3,203,IF(INT(+J14/6)=4,248,IF(INT(+J14/6)&gt;4,318,0))))))</f>
        <v>55</v>
      </c>
      <c r="M14">
        <f t="shared" si="1"/>
        <v>-474.6</v>
      </c>
    </row>
    <row r="15" spans="2:16" hidden="1" x14ac:dyDescent="0.25">
      <c r="B15" s="196">
        <v>305</v>
      </c>
      <c r="C15" s="193">
        <v>45.75</v>
      </c>
      <c r="D15" s="193">
        <v>106.75</v>
      </c>
      <c r="E15" s="193">
        <v>183</v>
      </c>
      <c r="F15" s="193">
        <v>244</v>
      </c>
      <c r="G15" s="193">
        <v>305</v>
      </c>
      <c r="I15" s="193">
        <v>2021</v>
      </c>
      <c r="J15" s="194">
        <f>+J16-1</f>
        <v>11</v>
      </c>
      <c r="K15">
        <f t="shared" si="2"/>
        <v>90</v>
      </c>
      <c r="L15">
        <f>(IF(INT(+J15/6)=1,55,IF(INT(+J15/6)=2,119,IF(INT(+J15/6)=3,239,IF(INT(+J15/6)=4,383,IF(INT(+J15/6)&gt;4,453,0))))))</f>
        <v>55</v>
      </c>
      <c r="M15">
        <f t="shared" si="1"/>
        <v>-474.6</v>
      </c>
      <c r="N15" s="197"/>
    </row>
    <row r="16" spans="2:16" hidden="1" x14ac:dyDescent="0.25">
      <c r="B16" s="196">
        <v>435</v>
      </c>
      <c r="C16" s="193">
        <v>65.25</v>
      </c>
      <c r="D16" s="193">
        <v>152.25</v>
      </c>
      <c r="E16" s="193">
        <v>261</v>
      </c>
      <c r="F16" s="193">
        <v>348</v>
      </c>
      <c r="G16" s="193">
        <v>435</v>
      </c>
      <c r="I16" s="198">
        <v>2022</v>
      </c>
      <c r="J16" s="199">
        <f>+Nómina!D11</f>
        <v>12</v>
      </c>
      <c r="K16">
        <f t="shared" si="2"/>
        <v>190</v>
      </c>
      <c r="L16">
        <f>(IF(INT(+J16/6)=1,55,IF(INT(+J16/6)=2,119,IF(INT(+J16/6)=3,239,IF(INT(+J16/6)=4,419,IF(INT(+J16/6)&gt;4,489,0))))))</f>
        <v>119</v>
      </c>
      <c r="M16">
        <f t="shared" si="1"/>
        <v>-962.76</v>
      </c>
      <c r="N16" s="200">
        <f>-SUM(M2:M16)</f>
        <v>5637.5700000000006</v>
      </c>
      <c r="O16" t="s">
        <v>252</v>
      </c>
      <c r="P16" t="s">
        <v>253</v>
      </c>
    </row>
    <row r="17" spans="2:16" hidden="1" x14ac:dyDescent="0.25">
      <c r="B17" s="196">
        <v>505</v>
      </c>
      <c r="C17" s="193">
        <v>75.75</v>
      </c>
      <c r="D17" s="193">
        <v>176.75</v>
      </c>
      <c r="E17" s="193">
        <v>303</v>
      </c>
      <c r="F17" s="193">
        <v>404</v>
      </c>
      <c r="G17" s="193">
        <v>505</v>
      </c>
      <c r="I17" s="193">
        <v>2023</v>
      </c>
      <c r="J17" s="194">
        <f t="shared" ref="J17:J42" si="3">+J16+1</f>
        <v>13</v>
      </c>
      <c r="K17">
        <f t="shared" si="2"/>
        <v>190</v>
      </c>
      <c r="L17">
        <f t="shared" ref="L17:L42" si="4">(IF(INT(+J17/6)=1,55,IF(INT(+J17/6)=2,119,IF(INT(+J17/6)=3,239,IF(INT(+J17/6)=4,419,IF(INT(+J17/6)&gt;4,489,0))))))</f>
        <v>119</v>
      </c>
      <c r="M17">
        <f t="shared" si="1"/>
        <v>-962.76</v>
      </c>
      <c r="N17" s="197"/>
      <c r="O17" s="200">
        <f>N16-(+N16*'IRPF año completo'!B35)</f>
        <v>4580.4903276880632</v>
      </c>
      <c r="P17" t="s">
        <v>168</v>
      </c>
    </row>
    <row r="18" spans="2:16" hidden="1" x14ac:dyDescent="0.25">
      <c r="I18" s="193">
        <v>2024</v>
      </c>
      <c r="J18" s="194">
        <f t="shared" si="3"/>
        <v>14</v>
      </c>
      <c r="K18">
        <f t="shared" si="2"/>
        <v>190</v>
      </c>
      <c r="L18">
        <f t="shared" si="4"/>
        <v>119</v>
      </c>
      <c r="M18">
        <f t="shared" si="1"/>
        <v>-962.76</v>
      </c>
      <c r="N18" s="197"/>
      <c r="O18" s="208">
        <f>+Nóminab!D59</f>
        <v>37106.819999999992</v>
      </c>
    </row>
    <row r="19" spans="2:16" hidden="1" x14ac:dyDescent="0.25">
      <c r="C19" s="201">
        <v>2018</v>
      </c>
      <c r="D19" s="201">
        <v>2019</v>
      </c>
      <c r="E19" s="201">
        <v>2020</v>
      </c>
      <c r="F19" s="201">
        <v>2021</v>
      </c>
      <c r="G19" s="201">
        <v>2022</v>
      </c>
      <c r="I19" s="193">
        <v>2025</v>
      </c>
      <c r="J19" s="194">
        <f t="shared" si="3"/>
        <v>15</v>
      </c>
      <c r="K19">
        <f t="shared" si="2"/>
        <v>190</v>
      </c>
      <c r="L19">
        <f t="shared" si="4"/>
        <v>119</v>
      </c>
      <c r="M19">
        <f t="shared" si="1"/>
        <v>-962.76</v>
      </c>
      <c r="O19" s="209">
        <f>+N16/O18</f>
        <v>0.15192813612160788</v>
      </c>
    </row>
    <row r="20" spans="2:16" hidden="1" x14ac:dyDescent="0.25">
      <c r="B20" s="196">
        <v>55</v>
      </c>
      <c r="C20" s="193">
        <v>30.25</v>
      </c>
      <c r="D20" s="193">
        <v>55</v>
      </c>
      <c r="E20" s="193">
        <v>55</v>
      </c>
      <c r="F20" s="193">
        <v>55</v>
      </c>
      <c r="G20" s="193">
        <v>55</v>
      </c>
      <c r="I20" s="193">
        <v>2026</v>
      </c>
      <c r="J20" s="194">
        <f t="shared" si="3"/>
        <v>16</v>
      </c>
      <c r="K20">
        <f t="shared" si="2"/>
        <v>190</v>
      </c>
      <c r="L20">
        <f t="shared" si="4"/>
        <v>119</v>
      </c>
      <c r="M20">
        <f t="shared" si="1"/>
        <v>-962.76</v>
      </c>
    </row>
    <row r="21" spans="2:16" hidden="1" x14ac:dyDescent="0.25">
      <c r="B21" s="196">
        <v>119</v>
      </c>
      <c r="C21" s="193">
        <v>37.93</v>
      </c>
      <c r="D21" s="193">
        <v>87</v>
      </c>
      <c r="E21" s="193">
        <v>119</v>
      </c>
      <c r="F21" s="193">
        <v>119</v>
      </c>
      <c r="G21" s="193">
        <v>119</v>
      </c>
      <c r="I21" s="193">
        <v>2027</v>
      </c>
      <c r="J21" s="194">
        <f t="shared" si="3"/>
        <v>17</v>
      </c>
      <c r="K21">
        <f t="shared" si="2"/>
        <v>190</v>
      </c>
      <c r="L21">
        <f t="shared" si="4"/>
        <v>119</v>
      </c>
      <c r="M21">
        <f t="shared" si="1"/>
        <v>-962.76</v>
      </c>
    </row>
    <row r="22" spans="2:16" hidden="1" x14ac:dyDescent="0.25">
      <c r="B22" s="196">
        <v>239</v>
      </c>
      <c r="C22" s="193">
        <v>52.33</v>
      </c>
      <c r="D22" s="193">
        <v>99</v>
      </c>
      <c r="E22" s="193">
        <v>203</v>
      </c>
      <c r="F22" s="193">
        <v>239</v>
      </c>
      <c r="G22" s="193">
        <v>239</v>
      </c>
      <c r="I22" s="193">
        <v>2028</v>
      </c>
      <c r="J22" s="194">
        <f t="shared" si="3"/>
        <v>18</v>
      </c>
      <c r="K22">
        <f t="shared" si="2"/>
        <v>305</v>
      </c>
      <c r="L22">
        <f t="shared" si="4"/>
        <v>239</v>
      </c>
      <c r="M22">
        <f t="shared" si="1"/>
        <v>-894.96</v>
      </c>
    </row>
    <row r="23" spans="2:16" hidden="1" x14ac:dyDescent="0.25">
      <c r="B23" s="196">
        <v>419</v>
      </c>
      <c r="C23" s="193">
        <v>70.33</v>
      </c>
      <c r="D23" s="193">
        <v>118.8</v>
      </c>
      <c r="E23" s="193">
        <v>248</v>
      </c>
      <c r="F23" s="193">
        <v>383</v>
      </c>
      <c r="G23" s="193">
        <v>419</v>
      </c>
      <c r="I23" s="193">
        <v>2029</v>
      </c>
      <c r="J23" s="194">
        <f t="shared" si="3"/>
        <v>19</v>
      </c>
      <c r="K23">
        <f t="shared" si="2"/>
        <v>305</v>
      </c>
      <c r="L23">
        <f t="shared" si="4"/>
        <v>239</v>
      </c>
      <c r="M23">
        <f t="shared" si="1"/>
        <v>-894.96</v>
      </c>
    </row>
    <row r="24" spans="2:16" hidden="1" x14ac:dyDescent="0.25">
      <c r="B24" s="196">
        <v>489</v>
      </c>
      <c r="C24" s="193">
        <v>87.83</v>
      </c>
      <c r="D24" s="193">
        <v>188.8</v>
      </c>
      <c r="E24" s="193">
        <v>318</v>
      </c>
      <c r="F24" s="193">
        <v>453</v>
      </c>
      <c r="G24" s="193">
        <v>489</v>
      </c>
      <c r="I24" s="193">
        <v>2030</v>
      </c>
      <c r="J24" s="194">
        <f t="shared" si="3"/>
        <v>20</v>
      </c>
      <c r="K24">
        <f t="shared" si="2"/>
        <v>305</v>
      </c>
      <c r="L24">
        <f t="shared" si="4"/>
        <v>239</v>
      </c>
      <c r="M24">
        <f t="shared" si="1"/>
        <v>-894.96</v>
      </c>
    </row>
    <row r="25" spans="2:16" hidden="1" x14ac:dyDescent="0.25">
      <c r="I25" s="193">
        <v>2031</v>
      </c>
      <c r="J25" s="194">
        <f t="shared" si="3"/>
        <v>21</v>
      </c>
      <c r="K25">
        <f t="shared" si="2"/>
        <v>305</v>
      </c>
      <c r="L25">
        <f t="shared" si="4"/>
        <v>239</v>
      </c>
      <c r="M25">
        <f t="shared" si="1"/>
        <v>-894.96</v>
      </c>
    </row>
    <row r="26" spans="2:16" hidden="1" x14ac:dyDescent="0.25">
      <c r="I26" s="193">
        <v>2032</v>
      </c>
      <c r="J26" s="194">
        <f t="shared" si="3"/>
        <v>22</v>
      </c>
      <c r="K26">
        <f t="shared" si="2"/>
        <v>305</v>
      </c>
      <c r="L26">
        <f t="shared" si="4"/>
        <v>239</v>
      </c>
      <c r="M26">
        <f t="shared" si="1"/>
        <v>-894.96</v>
      </c>
    </row>
    <row r="27" spans="2:16" hidden="1" x14ac:dyDescent="0.25">
      <c r="I27" s="193">
        <v>2033</v>
      </c>
      <c r="J27" s="194">
        <f t="shared" si="3"/>
        <v>23</v>
      </c>
      <c r="K27">
        <f t="shared" si="2"/>
        <v>305</v>
      </c>
      <c r="L27">
        <f t="shared" si="4"/>
        <v>239</v>
      </c>
      <c r="M27">
        <f t="shared" si="1"/>
        <v>-894.96</v>
      </c>
    </row>
    <row r="28" spans="2:16" hidden="1" x14ac:dyDescent="0.25">
      <c r="I28" s="193">
        <v>2034</v>
      </c>
      <c r="J28" s="194">
        <f t="shared" si="3"/>
        <v>24</v>
      </c>
      <c r="K28">
        <f t="shared" si="2"/>
        <v>435</v>
      </c>
      <c r="L28">
        <f t="shared" si="4"/>
        <v>419</v>
      </c>
      <c r="M28">
        <f t="shared" si="1"/>
        <v>-216.96</v>
      </c>
    </row>
    <row r="29" spans="2:16" hidden="1" x14ac:dyDescent="0.25">
      <c r="I29" s="193">
        <v>2035</v>
      </c>
      <c r="J29" s="194">
        <f t="shared" si="3"/>
        <v>25</v>
      </c>
      <c r="K29">
        <f t="shared" si="2"/>
        <v>435</v>
      </c>
      <c r="L29">
        <f t="shared" si="4"/>
        <v>419</v>
      </c>
      <c r="M29">
        <f t="shared" si="1"/>
        <v>-216.96</v>
      </c>
    </row>
    <row r="30" spans="2:16" hidden="1" x14ac:dyDescent="0.25">
      <c r="I30" s="193">
        <v>2036</v>
      </c>
      <c r="J30" s="194">
        <f t="shared" si="3"/>
        <v>26</v>
      </c>
      <c r="K30">
        <f t="shared" si="2"/>
        <v>435</v>
      </c>
      <c r="L30">
        <f t="shared" si="4"/>
        <v>419</v>
      </c>
      <c r="M30">
        <f t="shared" si="1"/>
        <v>-216.96</v>
      </c>
    </row>
    <row r="31" spans="2:16" hidden="1" x14ac:dyDescent="0.25">
      <c r="I31" s="193">
        <v>2037</v>
      </c>
      <c r="J31" s="194">
        <f t="shared" si="3"/>
        <v>27</v>
      </c>
      <c r="K31">
        <f t="shared" si="2"/>
        <v>435</v>
      </c>
      <c r="L31">
        <f t="shared" si="4"/>
        <v>419</v>
      </c>
      <c r="M31">
        <f t="shared" si="1"/>
        <v>-216.96</v>
      </c>
    </row>
    <row r="32" spans="2:16" hidden="1" x14ac:dyDescent="0.25">
      <c r="I32" s="193">
        <v>2038</v>
      </c>
      <c r="J32" s="194">
        <f t="shared" si="3"/>
        <v>28</v>
      </c>
      <c r="K32">
        <f t="shared" si="2"/>
        <v>435</v>
      </c>
      <c r="L32">
        <f t="shared" si="4"/>
        <v>419</v>
      </c>
      <c r="M32">
        <f t="shared" si="1"/>
        <v>-216.96</v>
      </c>
    </row>
    <row r="33" spans="9:13" hidden="1" x14ac:dyDescent="0.25">
      <c r="I33" s="193">
        <v>2039</v>
      </c>
      <c r="J33" s="194">
        <f t="shared" si="3"/>
        <v>29</v>
      </c>
      <c r="K33">
        <f t="shared" si="2"/>
        <v>435</v>
      </c>
      <c r="L33">
        <f t="shared" si="4"/>
        <v>419</v>
      </c>
      <c r="M33">
        <f t="shared" si="1"/>
        <v>-216.96</v>
      </c>
    </row>
    <row r="34" spans="9:13" hidden="1" x14ac:dyDescent="0.25">
      <c r="I34" s="193">
        <v>2040</v>
      </c>
      <c r="J34" s="194">
        <f t="shared" si="3"/>
        <v>30</v>
      </c>
      <c r="K34">
        <f t="shared" si="2"/>
        <v>505</v>
      </c>
      <c r="L34">
        <f t="shared" si="4"/>
        <v>489</v>
      </c>
      <c r="M34">
        <f t="shared" si="1"/>
        <v>-216.96</v>
      </c>
    </row>
    <row r="35" spans="9:13" hidden="1" x14ac:dyDescent="0.25">
      <c r="I35" s="193">
        <v>2041</v>
      </c>
      <c r="J35" s="194">
        <f t="shared" si="3"/>
        <v>31</v>
      </c>
      <c r="K35">
        <f t="shared" si="2"/>
        <v>505</v>
      </c>
      <c r="L35">
        <f t="shared" si="4"/>
        <v>489</v>
      </c>
      <c r="M35">
        <f t="shared" si="1"/>
        <v>-216.96</v>
      </c>
    </row>
    <row r="36" spans="9:13" hidden="1" x14ac:dyDescent="0.25">
      <c r="I36" s="193">
        <v>2042</v>
      </c>
      <c r="J36" s="194">
        <f t="shared" si="3"/>
        <v>32</v>
      </c>
      <c r="K36">
        <f t="shared" si="2"/>
        <v>505</v>
      </c>
      <c r="L36">
        <f t="shared" si="4"/>
        <v>489</v>
      </c>
      <c r="M36">
        <f t="shared" si="1"/>
        <v>-216.96</v>
      </c>
    </row>
    <row r="37" spans="9:13" hidden="1" x14ac:dyDescent="0.25">
      <c r="I37" s="193">
        <v>2043</v>
      </c>
      <c r="J37" s="194">
        <f t="shared" si="3"/>
        <v>33</v>
      </c>
      <c r="K37">
        <f t="shared" si="2"/>
        <v>505</v>
      </c>
      <c r="L37">
        <f t="shared" si="4"/>
        <v>489</v>
      </c>
      <c r="M37">
        <f t="shared" si="1"/>
        <v>-216.96</v>
      </c>
    </row>
    <row r="38" spans="9:13" hidden="1" x14ac:dyDescent="0.25">
      <c r="I38" s="193">
        <v>2044</v>
      </c>
      <c r="J38" s="194">
        <f t="shared" si="3"/>
        <v>34</v>
      </c>
      <c r="K38">
        <f t="shared" si="2"/>
        <v>505</v>
      </c>
      <c r="L38">
        <f t="shared" si="4"/>
        <v>489</v>
      </c>
      <c r="M38">
        <f t="shared" si="1"/>
        <v>-216.96</v>
      </c>
    </row>
    <row r="39" spans="9:13" hidden="1" x14ac:dyDescent="0.25">
      <c r="I39" s="193">
        <v>2045</v>
      </c>
      <c r="J39" s="194">
        <f t="shared" si="3"/>
        <v>35</v>
      </c>
      <c r="K39">
        <f t="shared" si="2"/>
        <v>505</v>
      </c>
      <c r="L39">
        <f t="shared" si="4"/>
        <v>489</v>
      </c>
      <c r="M39">
        <f t="shared" si="1"/>
        <v>-216.96</v>
      </c>
    </row>
    <row r="40" spans="9:13" hidden="1" x14ac:dyDescent="0.25">
      <c r="I40" s="193">
        <v>2046</v>
      </c>
      <c r="J40" s="194">
        <f t="shared" si="3"/>
        <v>36</v>
      </c>
      <c r="K40">
        <f t="shared" si="2"/>
        <v>505</v>
      </c>
      <c r="L40">
        <f t="shared" si="4"/>
        <v>489</v>
      </c>
      <c r="M40">
        <f t="shared" si="1"/>
        <v>-216.96</v>
      </c>
    </row>
    <row r="41" spans="9:13" hidden="1" x14ac:dyDescent="0.25">
      <c r="I41" s="193">
        <v>2047</v>
      </c>
      <c r="J41" s="194">
        <f t="shared" si="3"/>
        <v>37</v>
      </c>
      <c r="K41">
        <f t="shared" si="2"/>
        <v>505</v>
      </c>
      <c r="L41">
        <f t="shared" si="4"/>
        <v>489</v>
      </c>
      <c r="M41">
        <f t="shared" si="1"/>
        <v>-216.96</v>
      </c>
    </row>
    <row r="42" spans="9:13" hidden="1" x14ac:dyDescent="0.25">
      <c r="I42" s="193">
        <v>2048</v>
      </c>
      <c r="J42" s="194">
        <f t="shared" si="3"/>
        <v>38</v>
      </c>
      <c r="K42">
        <f t="shared" si="2"/>
        <v>505</v>
      </c>
      <c r="L42">
        <f t="shared" si="4"/>
        <v>489</v>
      </c>
      <c r="M42">
        <f t="shared" si="1"/>
        <v>-216.96</v>
      </c>
    </row>
  </sheetData>
  <sheetProtection algorithmName="SHA-512" hashValue="2SOgoJ1h4+dBq2GakCHJrKh67o0GEkZOvT+JJ52MDxbMis+ROOStaYC4M/IQBUTFhUzYEDCmeZsZaMkVKo95jQ==" saltValue="lAUbrVeLcYNLrWVP/95Zx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Nómina</vt:lpstr>
      <vt:lpstr>Nomina1dia</vt:lpstr>
      <vt:lpstr>Nóminab</vt:lpstr>
      <vt:lpstr>IRPF año completo</vt:lpstr>
      <vt:lpstr>IRPF meses nombrado</vt:lpstr>
      <vt:lpstr>Retribuciones</vt:lpstr>
      <vt:lpstr>Hoja1</vt:lpstr>
      <vt:lpstr>SexeniosPerdidos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JAngel</dc:creator>
  <cp:lastModifiedBy>José Ángel</cp:lastModifiedBy>
  <cp:lastPrinted>2010-06-03T19:39:34Z</cp:lastPrinted>
  <dcterms:created xsi:type="dcterms:W3CDTF">2010-01-09T16:18:22Z</dcterms:created>
  <dcterms:modified xsi:type="dcterms:W3CDTF">2023-06-05T08:53:07Z</dcterms:modified>
</cp:coreProperties>
</file>