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D6EA930A-DD80-43B5-AF9B-164541762125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Nómina" sheetId="8" r:id="rId1"/>
    <sheet name="Hoja1" sheetId="18" r:id="rId2"/>
    <sheet name="IRPF año completo" sheetId="15" r:id="rId3"/>
    <sheet name="IRPF meses nombrado" sheetId="16" r:id="rId4"/>
    <sheet name="Retribuciones" sheetId="14" r:id="rId5"/>
    <sheet name="Retribuciones19" sheetId="17" r:id="rId6"/>
  </sheets>
  <externalReferences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8" l="1"/>
  <c r="C14" i="8"/>
  <c r="M17" i="18" l="1"/>
  <c r="M18" i="18" s="1"/>
  <c r="O17" i="18"/>
  <c r="O18" i="18" s="1"/>
  <c r="D6" i="18"/>
  <c r="E6" i="18" s="1"/>
  <c r="D7" i="18"/>
  <c r="E7" i="18" s="1"/>
  <c r="D4" i="18"/>
  <c r="E4" i="18" s="1"/>
  <c r="D5" i="18"/>
  <c r="E5" i="18" s="1"/>
  <c r="D3" i="18"/>
  <c r="E3" i="18" s="1"/>
  <c r="E12" i="18"/>
  <c r="E13" i="18"/>
  <c r="E14" i="18"/>
  <c r="E15" i="18"/>
  <c r="E16" i="18"/>
  <c r="E21" i="18"/>
  <c r="E22" i="18"/>
  <c r="D11" i="18"/>
  <c r="E11" i="18" s="1"/>
  <c r="D10" i="18"/>
  <c r="E10" i="18" s="1"/>
  <c r="D9" i="18"/>
  <c r="E9" i="18" s="1"/>
  <c r="D8" i="18"/>
  <c r="E8" i="18" s="1"/>
  <c r="D2" i="18"/>
  <c r="E2" i="18" s="1"/>
  <c r="D1" i="18"/>
  <c r="E1" i="18" s="1"/>
  <c r="B20" i="18"/>
  <c r="C20" i="18" l="1"/>
  <c r="E27" i="8" l="1"/>
  <c r="E24" i="8"/>
  <c r="D28" i="8"/>
  <c r="E37" i="8"/>
  <c r="E36" i="8"/>
  <c r="E35" i="8"/>
  <c r="E34" i="8"/>
  <c r="P23" i="17"/>
  <c r="P46" i="17" s="1"/>
  <c r="AV80" i="17"/>
  <c r="P52" i="17"/>
  <c r="P51" i="17"/>
  <c r="P50" i="17"/>
  <c r="K48" i="17"/>
  <c r="L48" i="17" s="1"/>
  <c r="M48" i="17" s="1"/>
  <c r="F48" i="17"/>
  <c r="G48" i="17" s="1"/>
  <c r="H48" i="17" s="1"/>
  <c r="I48" i="17" s="1"/>
  <c r="E48" i="17"/>
  <c r="M47" i="17"/>
  <c r="L47" i="17"/>
  <c r="K47" i="17"/>
  <c r="E47" i="17"/>
  <c r="F47" i="17" s="1"/>
  <c r="K46" i="17"/>
  <c r="L46" i="17" s="1"/>
  <c r="M46" i="17" s="1"/>
  <c r="I46" i="17"/>
  <c r="H46" i="17"/>
  <c r="G46" i="17"/>
  <c r="L45" i="17"/>
  <c r="M45" i="17" s="1"/>
  <c r="K45" i="17"/>
  <c r="G45" i="17"/>
  <c r="H45" i="17" s="1"/>
  <c r="I45" i="17" s="1"/>
  <c r="M44" i="17"/>
  <c r="L44" i="17"/>
  <c r="K44" i="17"/>
  <c r="H44" i="17"/>
  <c r="I44" i="17" s="1"/>
  <c r="G44" i="17"/>
  <c r="D43" i="17"/>
  <c r="E43" i="17" s="1"/>
  <c r="F43" i="17" s="1"/>
  <c r="G42" i="17"/>
  <c r="H42" i="17" s="1"/>
  <c r="I42" i="17" s="1"/>
  <c r="J42" i="17" s="1"/>
  <c r="K42" i="17" s="1"/>
  <c r="L42" i="17" s="1"/>
  <c r="M42" i="17" s="1"/>
  <c r="F42" i="17"/>
  <c r="E42" i="17"/>
  <c r="E41" i="17"/>
  <c r="F41" i="17" s="1"/>
  <c r="G41" i="17" s="1"/>
  <c r="H41" i="17" s="1"/>
  <c r="I41" i="17" s="1"/>
  <c r="J41" i="17" s="1"/>
  <c r="K41" i="17" s="1"/>
  <c r="L41" i="17" s="1"/>
  <c r="M41" i="17" s="1"/>
  <c r="D41" i="17"/>
  <c r="E40" i="17"/>
  <c r="F40" i="17" s="1"/>
  <c r="G40" i="17" s="1"/>
  <c r="H40" i="17" s="1"/>
  <c r="I40" i="17" s="1"/>
  <c r="J40" i="17" s="1"/>
  <c r="K40" i="17" s="1"/>
  <c r="L40" i="17" s="1"/>
  <c r="M40" i="17" s="1"/>
  <c r="D39" i="17"/>
  <c r="Q4" i="17" s="1"/>
  <c r="Q5" i="17" s="1"/>
  <c r="Q6" i="17" s="1"/>
  <c r="E38" i="17"/>
  <c r="F38" i="17" s="1"/>
  <c r="E37" i="17"/>
  <c r="F37" i="17" s="1"/>
  <c r="D37" i="17"/>
  <c r="F36" i="17"/>
  <c r="G36" i="17" s="1"/>
  <c r="H36" i="17" s="1"/>
  <c r="I36" i="17" s="1"/>
  <c r="J36" i="17" s="1"/>
  <c r="K36" i="17" s="1"/>
  <c r="L36" i="17" s="1"/>
  <c r="M36" i="17" s="1"/>
  <c r="E36" i="17"/>
  <c r="D35" i="17"/>
  <c r="E35" i="17" s="1"/>
  <c r="F35" i="17" s="1"/>
  <c r="G34" i="17"/>
  <c r="H34" i="17" s="1"/>
  <c r="I34" i="17" s="1"/>
  <c r="J34" i="17" s="1"/>
  <c r="K34" i="17" s="1"/>
  <c r="L34" i="17" s="1"/>
  <c r="M34" i="17" s="1"/>
  <c r="F34" i="17"/>
  <c r="E34" i="17"/>
  <c r="M33" i="17"/>
  <c r="L33" i="17"/>
  <c r="K33" i="17"/>
  <c r="J33" i="17"/>
  <c r="G33" i="17"/>
  <c r="F33" i="17"/>
  <c r="E33" i="17"/>
  <c r="D33" i="17"/>
  <c r="K32" i="17"/>
  <c r="G32" i="17"/>
  <c r="H32" i="17" s="1"/>
  <c r="M31" i="17"/>
  <c r="L31" i="17"/>
  <c r="F31" i="17"/>
  <c r="D31" i="17"/>
  <c r="M30" i="17"/>
  <c r="H30" i="17"/>
  <c r="G30" i="17"/>
  <c r="G31" i="17" s="1"/>
  <c r="E30" i="17"/>
  <c r="E31" i="17" s="1"/>
  <c r="L29" i="17"/>
  <c r="M29" i="17" s="1"/>
  <c r="K29" i="17"/>
  <c r="E29" i="17"/>
  <c r="F29" i="17" s="1"/>
  <c r="G29" i="17" s="1"/>
  <c r="H29" i="17" s="1"/>
  <c r="I29" i="17" s="1"/>
  <c r="M28" i="17"/>
  <c r="L28" i="17"/>
  <c r="K28" i="17"/>
  <c r="D28" i="17"/>
  <c r="E28" i="17" s="1"/>
  <c r="F28" i="17" s="1"/>
  <c r="G28" i="17" s="1"/>
  <c r="H28" i="17" s="1"/>
  <c r="I28" i="17" s="1"/>
  <c r="L27" i="17"/>
  <c r="M27" i="17" s="1"/>
  <c r="K27" i="17"/>
  <c r="F27" i="17"/>
  <c r="G27" i="17" s="1"/>
  <c r="H27" i="17" s="1"/>
  <c r="I27" i="17" s="1"/>
  <c r="E27" i="17"/>
  <c r="K26" i="17"/>
  <c r="L26" i="17" s="1"/>
  <c r="M26" i="17" s="1"/>
  <c r="G26" i="17"/>
  <c r="H26" i="17" s="1"/>
  <c r="I26" i="17" s="1"/>
  <c r="F26" i="17"/>
  <c r="E26" i="17"/>
  <c r="P22" i="17"/>
  <c r="AD19" i="17"/>
  <c r="AA19" i="17"/>
  <c r="X19" i="17"/>
  <c r="AD18" i="17"/>
  <c r="AA18" i="17" s="1"/>
  <c r="F18" i="17"/>
  <c r="AD17" i="17"/>
  <c r="AA17" i="17" s="1"/>
  <c r="AD16" i="17"/>
  <c r="AA16" i="17"/>
  <c r="AD15" i="17"/>
  <c r="AA15" i="17" s="1"/>
  <c r="AD14" i="17"/>
  <c r="AA14" i="17" s="1"/>
  <c r="AJ13" i="17"/>
  <c r="AA13" i="17"/>
  <c r="AB13" i="17" s="1"/>
  <c r="K13" i="17"/>
  <c r="I13" i="17"/>
  <c r="AJ12" i="17"/>
  <c r="AA12" i="17"/>
  <c r="AB12" i="17" s="1"/>
  <c r="Z12" i="17"/>
  <c r="Z13" i="17" s="1"/>
  <c r="X12" i="17"/>
  <c r="X13" i="17" s="1"/>
  <c r="K12" i="17"/>
  <c r="J12" i="17"/>
  <c r="I12" i="17"/>
  <c r="H12" i="17"/>
  <c r="H13" i="17" s="1"/>
  <c r="AJ11" i="17"/>
  <c r="AD11" i="17"/>
  <c r="AD12" i="17" s="1"/>
  <c r="AD13" i="17" s="1"/>
  <c r="AA11" i="17"/>
  <c r="AB11" i="17" s="1"/>
  <c r="Z11" i="17"/>
  <c r="X11" i="17"/>
  <c r="F11" i="17"/>
  <c r="F12" i="17" s="1"/>
  <c r="F13" i="17" s="1"/>
  <c r="E11" i="17"/>
  <c r="D11" i="17"/>
  <c r="AJ10" i="17"/>
  <c r="AD10" i="17"/>
  <c r="AA10" i="17"/>
  <c r="AB10" i="17" s="1"/>
  <c r="Z10" i="17"/>
  <c r="Y10" i="17"/>
  <c r="Y11" i="17" s="1"/>
  <c r="Y12" i="17" s="1"/>
  <c r="Y13" i="17" s="1"/>
  <c r="X10" i="17"/>
  <c r="W10" i="17"/>
  <c r="W11" i="17" s="1"/>
  <c r="W12" i="17" s="1"/>
  <c r="W13" i="17" s="1"/>
  <c r="V10" i="17"/>
  <c r="V11" i="17" s="1"/>
  <c r="V12" i="17" s="1"/>
  <c r="V13" i="17" s="1"/>
  <c r="S10" i="17"/>
  <c r="S11" i="17" s="1"/>
  <c r="S12" i="17" s="1"/>
  <c r="S13" i="17" s="1"/>
  <c r="J10" i="17"/>
  <c r="J11" i="17" s="1"/>
  <c r="K11" i="17" s="1"/>
  <c r="G10" i="17"/>
  <c r="G11" i="17" s="1"/>
  <c r="G12" i="17" s="1"/>
  <c r="G13" i="17" s="1"/>
  <c r="F10" i="17"/>
  <c r="F19" i="17" s="1"/>
  <c r="E10" i="17"/>
  <c r="D10" i="17"/>
  <c r="AJ9" i="17"/>
  <c r="AA9" i="17"/>
  <c r="AB9" i="17" s="1"/>
  <c r="W9" i="17"/>
  <c r="V9" i="17"/>
  <c r="U9" i="17"/>
  <c r="U10" i="17" s="1"/>
  <c r="U11" i="17" s="1"/>
  <c r="U12" i="17" s="1"/>
  <c r="U13" i="17" s="1"/>
  <c r="AJ8" i="17"/>
  <c r="AA8" i="17"/>
  <c r="AB8" i="17" s="1"/>
  <c r="Z8" i="17"/>
  <c r="Z9" i="17" s="1"/>
  <c r="Y8" i="17"/>
  <c r="Y9" i="17" s="1"/>
  <c r="X8" i="17"/>
  <c r="X9" i="17" s="1"/>
  <c r="N8" i="17"/>
  <c r="N9" i="17" s="1"/>
  <c r="N10" i="17" s="1"/>
  <c r="N11" i="17" s="1"/>
  <c r="N12" i="17" s="1"/>
  <c r="N13" i="17" s="1"/>
  <c r="AJ7" i="17"/>
  <c r="AA7" i="17"/>
  <c r="AB7" i="17" s="1"/>
  <c r="X7" i="17"/>
  <c r="Q7" i="17"/>
  <c r="Q8" i="17" s="1"/>
  <c r="Q9" i="17" s="1"/>
  <c r="Q10" i="17" s="1"/>
  <c r="Q11" i="17" s="1"/>
  <c r="Q12" i="17" s="1"/>
  <c r="Q13" i="17" s="1"/>
  <c r="AJ6" i="17"/>
  <c r="AA6" i="17"/>
  <c r="AB6" i="17" s="1"/>
  <c r="X6" i="17"/>
  <c r="W6" i="17"/>
  <c r="W7" i="17" s="1"/>
  <c r="W8" i="17" s="1"/>
  <c r="V6" i="17"/>
  <c r="V7" i="17" s="1"/>
  <c r="V8" i="17" s="1"/>
  <c r="U6" i="17"/>
  <c r="U7" i="17" s="1"/>
  <c r="U8" i="17" s="1"/>
  <c r="S6" i="17"/>
  <c r="S7" i="17" s="1"/>
  <c r="S8" i="17" s="1"/>
  <c r="S9" i="17" s="1"/>
  <c r="R6" i="17"/>
  <c r="R7" i="17" s="1"/>
  <c r="R8" i="17" s="1"/>
  <c r="R9" i="17" s="1"/>
  <c r="R10" i="17" s="1"/>
  <c r="R11" i="17" s="1"/>
  <c r="R12" i="17" s="1"/>
  <c r="R13" i="17" s="1"/>
  <c r="J6" i="17"/>
  <c r="J7" i="17" s="1"/>
  <c r="H6" i="17"/>
  <c r="H7" i="17" s="1"/>
  <c r="F6" i="17"/>
  <c r="F7" i="17" s="1"/>
  <c r="F8" i="17" s="1"/>
  <c r="F9" i="17" s="1"/>
  <c r="AJ5" i="17"/>
  <c r="AB5" i="17"/>
  <c r="AA5" i="17"/>
  <c r="X5" i="17"/>
  <c r="W5" i="17"/>
  <c r="V5" i="17"/>
  <c r="U5" i="17"/>
  <c r="R5" i="17"/>
  <c r="L5" i="17"/>
  <c r="L6" i="17" s="1"/>
  <c r="L7" i="17" s="1"/>
  <c r="L8" i="17" s="1"/>
  <c r="L9" i="17" s="1"/>
  <c r="L10" i="17" s="1"/>
  <c r="L11" i="17" s="1"/>
  <c r="L12" i="17" s="1"/>
  <c r="L13" i="17" s="1"/>
  <c r="J5" i="17"/>
  <c r="K5" i="17" s="1"/>
  <c r="F5" i="17"/>
  <c r="AJ4" i="17"/>
  <c r="AE4" i="17"/>
  <c r="AE5" i="17" s="1"/>
  <c r="AE6" i="17" s="1"/>
  <c r="AE7" i="17" s="1"/>
  <c r="AE8" i="17" s="1"/>
  <c r="AE9" i="17" s="1"/>
  <c r="AE10" i="17" s="1"/>
  <c r="AE11" i="17" s="1"/>
  <c r="AE12" i="17" s="1"/>
  <c r="AE13" i="17" s="1"/>
  <c r="AE14" i="17" s="1"/>
  <c r="AE15" i="17" s="1"/>
  <c r="AE16" i="17" s="1"/>
  <c r="AE17" i="17" s="1"/>
  <c r="AE18" i="17" s="1"/>
  <c r="AE19" i="17" s="1"/>
  <c r="AD4" i="17"/>
  <c r="AD5" i="17" s="1"/>
  <c r="AD6" i="17" s="1"/>
  <c r="AD7" i="17" s="1"/>
  <c r="AD8" i="17" s="1"/>
  <c r="AD9" i="17" s="1"/>
  <c r="AC4" i="17"/>
  <c r="AC5" i="17" s="1"/>
  <c r="AC6" i="17" s="1"/>
  <c r="AC7" i="17" s="1"/>
  <c r="AC8" i="17" s="1"/>
  <c r="AC9" i="17" s="1"/>
  <c r="AC10" i="17" s="1"/>
  <c r="AC11" i="17" s="1"/>
  <c r="AC12" i="17" s="1"/>
  <c r="AC13" i="17" s="1"/>
  <c r="AA4" i="17"/>
  <c r="AB4" i="17" s="1"/>
  <c r="Z4" i="17"/>
  <c r="Z5" i="17" s="1"/>
  <c r="Z6" i="17" s="1"/>
  <c r="Z7" i="17" s="1"/>
  <c r="Y4" i="17"/>
  <c r="Y5" i="17" s="1"/>
  <c r="Y6" i="17" s="1"/>
  <c r="Y7" i="17" s="1"/>
  <c r="X4" i="17"/>
  <c r="X18" i="17" s="1"/>
  <c r="W4" i="17"/>
  <c r="V4" i="17"/>
  <c r="U4" i="17"/>
  <c r="T4" i="17"/>
  <c r="T5" i="17" s="1"/>
  <c r="T6" i="17" s="1"/>
  <c r="T7" i="17" s="1"/>
  <c r="T8" i="17" s="1"/>
  <c r="T9" i="17" s="1"/>
  <c r="T10" i="17" s="1"/>
  <c r="T11" i="17" s="1"/>
  <c r="T12" i="17" s="1"/>
  <c r="T13" i="17" s="1"/>
  <c r="S4" i="17"/>
  <c r="S5" i="17" s="1"/>
  <c r="R4" i="17"/>
  <c r="P4" i="17"/>
  <c r="P5" i="17" s="1"/>
  <c r="P6" i="17" s="1"/>
  <c r="P7" i="17" s="1"/>
  <c r="P8" i="17" s="1"/>
  <c r="P9" i="17" s="1"/>
  <c r="P10" i="17" s="1"/>
  <c r="P11" i="17" s="1"/>
  <c r="P12" i="17" s="1"/>
  <c r="P13" i="17" s="1"/>
  <c r="O4" i="17"/>
  <c r="O5" i="17" s="1"/>
  <c r="O6" i="17" s="1"/>
  <c r="O7" i="17" s="1"/>
  <c r="O8" i="17" s="1"/>
  <c r="O9" i="17" s="1"/>
  <c r="O10" i="17" s="1"/>
  <c r="O11" i="17" s="1"/>
  <c r="O12" i="17" s="1"/>
  <c r="O13" i="17" s="1"/>
  <c r="N4" i="17"/>
  <c r="N5" i="17" s="1"/>
  <c r="N6" i="17" s="1"/>
  <c r="N7" i="17" s="1"/>
  <c r="M4" i="17"/>
  <c r="M5" i="17" s="1"/>
  <c r="M6" i="17" s="1"/>
  <c r="M7" i="17" s="1"/>
  <c r="M8" i="17" s="1"/>
  <c r="M9" i="17" s="1"/>
  <c r="M10" i="17" s="1"/>
  <c r="M11" i="17" s="1"/>
  <c r="M12" i="17" s="1"/>
  <c r="M13" i="17" s="1"/>
  <c r="L4" i="17"/>
  <c r="K4" i="17"/>
  <c r="J4" i="17"/>
  <c r="I4" i="17"/>
  <c r="H4" i="17"/>
  <c r="H5" i="17" s="1"/>
  <c r="I5" i="17" s="1"/>
  <c r="G4" i="17"/>
  <c r="G5" i="17" s="1"/>
  <c r="G6" i="17" s="1"/>
  <c r="G7" i="17" s="1"/>
  <c r="G8" i="17" s="1"/>
  <c r="G9" i="17" s="1"/>
  <c r="F4" i="17"/>
  <c r="E4" i="17"/>
  <c r="E5" i="17" s="1"/>
  <c r="E6" i="17" s="1"/>
  <c r="E7" i="17" s="1"/>
  <c r="D4" i="17"/>
  <c r="D5" i="17" s="1"/>
  <c r="D43" i="14"/>
  <c r="D41" i="14"/>
  <c r="D39" i="14"/>
  <c r="D37" i="14"/>
  <c r="D35" i="14"/>
  <c r="D38" i="8" l="1"/>
  <c r="E28" i="8"/>
  <c r="E38" i="8" s="1"/>
  <c r="AR10" i="17"/>
  <c r="P27" i="17"/>
  <c r="P30" i="17"/>
  <c r="P40" i="17"/>
  <c r="P44" i="17"/>
  <c r="P24" i="17"/>
  <c r="P26" i="17"/>
  <c r="P28" i="17"/>
  <c r="P45" i="17"/>
  <c r="E8" i="17"/>
  <c r="AR11" i="17"/>
  <c r="G37" i="17"/>
  <c r="H37" i="17" s="1"/>
  <c r="I37" i="17" s="1"/>
  <c r="J37" i="17" s="1"/>
  <c r="K37" i="17" s="1"/>
  <c r="L37" i="17" s="1"/>
  <c r="M37" i="17" s="1"/>
  <c r="P37" i="17"/>
  <c r="P38" i="17"/>
  <c r="G38" i="17"/>
  <c r="H38" i="17" s="1"/>
  <c r="I38" i="17" s="1"/>
  <c r="J38" i="17" s="1"/>
  <c r="K38" i="17" s="1"/>
  <c r="L38" i="17" s="1"/>
  <c r="M38" i="17" s="1"/>
  <c r="AH5" i="17"/>
  <c r="G35" i="17"/>
  <c r="H35" i="17" s="1"/>
  <c r="I35" i="17" s="1"/>
  <c r="J35" i="17" s="1"/>
  <c r="K35" i="17" s="1"/>
  <c r="L35" i="17" s="1"/>
  <c r="M35" i="17" s="1"/>
  <c r="P35" i="17"/>
  <c r="P47" i="17"/>
  <c r="G47" i="17"/>
  <c r="H47" i="17" s="1"/>
  <c r="I47" i="17" s="1"/>
  <c r="I32" i="17"/>
  <c r="I33" i="17" s="1"/>
  <c r="H33" i="17"/>
  <c r="I30" i="17"/>
  <c r="H31" i="17"/>
  <c r="AH4" i="17"/>
  <c r="D12" i="17"/>
  <c r="AG5" i="17"/>
  <c r="D6" i="17"/>
  <c r="AR5" i="17"/>
  <c r="H8" i="17"/>
  <c r="I7" i="17"/>
  <c r="AH7" i="17" s="1"/>
  <c r="I6" i="17"/>
  <c r="AH6" i="17" s="1"/>
  <c r="E12" i="17"/>
  <c r="J8" i="17"/>
  <c r="K7" i="17"/>
  <c r="G43" i="17"/>
  <c r="H43" i="17" s="1"/>
  <c r="I43" i="17" s="1"/>
  <c r="J43" i="17" s="1"/>
  <c r="K43" i="17" s="1"/>
  <c r="L43" i="17" s="1"/>
  <c r="M43" i="17" s="1"/>
  <c r="P43" i="17"/>
  <c r="K10" i="17"/>
  <c r="P36" i="17"/>
  <c r="E39" i="17"/>
  <c r="F39" i="17" s="1"/>
  <c r="K6" i="17"/>
  <c r="AR4" i="17"/>
  <c r="P31" i="17"/>
  <c r="AG4" i="17"/>
  <c r="P34" i="17"/>
  <c r="P42" i="17"/>
  <c r="P25" i="17"/>
  <c r="P33" i="17"/>
  <c r="P41" i="17"/>
  <c r="P48" i="17"/>
  <c r="P29" i="17"/>
  <c r="P32" i="17"/>
  <c r="P54" i="17" l="1"/>
  <c r="AG6" i="17"/>
  <c r="AR6" i="17"/>
  <c r="D7" i="17"/>
  <c r="AM5" i="17"/>
  <c r="AN5" i="17" s="1"/>
  <c r="AK5" i="17"/>
  <c r="AL5" i="17" s="1"/>
  <c r="AI5" i="17"/>
  <c r="AG12" i="17"/>
  <c r="D13" i="17"/>
  <c r="AR12" i="17"/>
  <c r="K8" i="17"/>
  <c r="J9" i="17"/>
  <c r="K9" i="17" s="1"/>
  <c r="AH12" i="17"/>
  <c r="E13" i="17"/>
  <c r="AH13" i="17" s="1"/>
  <c r="AI4" i="17"/>
  <c r="AM4" i="17"/>
  <c r="AN4" i="17" s="1"/>
  <c r="AK4" i="17"/>
  <c r="AL4" i="17" s="1"/>
  <c r="P39" i="17"/>
  <c r="G39" i="17"/>
  <c r="H39" i="17" s="1"/>
  <c r="I39" i="17" s="1"/>
  <c r="J39" i="17" s="1"/>
  <c r="K39" i="17" s="1"/>
  <c r="L39" i="17" s="1"/>
  <c r="M39" i="17" s="1"/>
  <c r="J30" i="17"/>
  <c r="I31" i="17"/>
  <c r="H9" i="17"/>
  <c r="I8" i="17"/>
  <c r="AH8" i="17"/>
  <c r="E9" i="17"/>
  <c r="AO4" i="17" l="1"/>
  <c r="AP4" i="17" s="1"/>
  <c r="AM6" i="17"/>
  <c r="AN6" i="17" s="1"/>
  <c r="AK6" i="17"/>
  <c r="AL6" i="17" s="1"/>
  <c r="AI6" i="17"/>
  <c r="K30" i="17"/>
  <c r="K31" i="17" s="1"/>
  <c r="J31" i="17"/>
  <c r="D8" i="17"/>
  <c r="AG7" i="17"/>
  <c r="AR7" i="17"/>
  <c r="I9" i="17"/>
  <c r="AH9" i="17" s="1"/>
  <c r="H10" i="17"/>
  <c r="AO5" i="17"/>
  <c r="AP5" i="17" s="1"/>
  <c r="AG13" i="17"/>
  <c r="AR13" i="17"/>
  <c r="AI12" i="17"/>
  <c r="AM12" i="17"/>
  <c r="AN12" i="17" s="1"/>
  <c r="AK12" i="17"/>
  <c r="AL12" i="17" s="1"/>
  <c r="AM7" i="17" l="1"/>
  <c r="AN7" i="17" s="1"/>
  <c r="AK7" i="17"/>
  <c r="AL7" i="17" s="1"/>
  <c r="AI7" i="17"/>
  <c r="D9" i="17"/>
  <c r="AG8" i="17"/>
  <c r="AR8" i="17"/>
  <c r="H11" i="17"/>
  <c r="I10" i="17"/>
  <c r="AH10" i="17" s="1"/>
  <c r="AG10" i="17"/>
  <c r="AI13" i="17"/>
  <c r="AM13" i="17"/>
  <c r="AN13" i="17" s="1"/>
  <c r="AK13" i="17"/>
  <c r="AL13" i="17" s="1"/>
  <c r="AO12" i="17"/>
  <c r="AP12" i="17" s="1"/>
  <c r="AO6" i="17"/>
  <c r="AP6" i="17" s="1"/>
  <c r="AM10" i="17" l="1"/>
  <c r="AN10" i="17" s="1"/>
  <c r="AK10" i="17"/>
  <c r="AL10" i="17" s="1"/>
  <c r="AI10" i="17"/>
  <c r="AO13" i="17"/>
  <c r="AP13" i="17" s="1"/>
  <c r="AI8" i="17"/>
  <c r="AM8" i="17"/>
  <c r="AN8" i="17" s="1"/>
  <c r="AK8" i="17"/>
  <c r="AL8" i="17" s="1"/>
  <c r="AG9" i="17"/>
  <c r="AR9" i="17"/>
  <c r="I11" i="17"/>
  <c r="AH11" i="17" s="1"/>
  <c r="AG11" i="17"/>
  <c r="AO7" i="17"/>
  <c r="AP7" i="17" s="1"/>
  <c r="AO8" i="17" l="1"/>
  <c r="AP8" i="17"/>
  <c r="AM9" i="17"/>
  <c r="AN9" i="17" s="1"/>
  <c r="AI9" i="17"/>
  <c r="AK9" i="17"/>
  <c r="AL9" i="17" s="1"/>
  <c r="AO10" i="17"/>
  <c r="AP10" i="17" s="1"/>
  <c r="AM11" i="17"/>
  <c r="AK11" i="17"/>
  <c r="AL11" i="17" s="1"/>
  <c r="AI11" i="17"/>
  <c r="AN11" i="17"/>
  <c r="AO9" i="17" l="1"/>
  <c r="AP9" i="17" s="1"/>
  <c r="AO11" i="17"/>
  <c r="AP11" i="17" s="1"/>
  <c r="F29" i="8" l="1"/>
  <c r="F30" i="8"/>
  <c r="F31" i="8"/>
  <c r="F32" i="8"/>
  <c r="F33" i="8"/>
  <c r="F43" i="8"/>
  <c r="E47" i="8" l="1"/>
  <c r="F47" i="8"/>
  <c r="G47" i="8" l="1"/>
  <c r="G43" i="8"/>
  <c r="E43" i="8"/>
  <c r="L52" i="8"/>
  <c r="B16" i="8"/>
  <c r="G29" i="8" l="1"/>
  <c r="G30" i="8"/>
  <c r="G31" i="8"/>
  <c r="G32" i="8"/>
  <c r="G33" i="8"/>
  <c r="L33" i="14" l="1"/>
  <c r="J12" i="14"/>
  <c r="M30" i="14"/>
  <c r="H12" i="14"/>
  <c r="Z10" i="14"/>
  <c r="Y10" i="14"/>
  <c r="X10" i="14"/>
  <c r="W10" i="14"/>
  <c r="V10" i="14"/>
  <c r="J10" i="14"/>
  <c r="G10" i="14"/>
  <c r="F10" i="14"/>
  <c r="E10" i="14"/>
  <c r="D10" i="14"/>
  <c r="J6" i="14"/>
  <c r="H6" i="14"/>
  <c r="J5" i="14"/>
  <c r="X6" i="14"/>
  <c r="W6" i="14"/>
  <c r="V6" i="14"/>
  <c r="X5" i="14"/>
  <c r="W5" i="14"/>
  <c r="V5" i="14"/>
  <c r="Z4" i="14"/>
  <c r="Y4" i="14"/>
  <c r="X4" i="14"/>
  <c r="W4" i="14"/>
  <c r="V4" i="14"/>
  <c r="T4" i="14"/>
  <c r="R4" i="14"/>
  <c r="P4" i="14"/>
  <c r="N4" i="14"/>
  <c r="L4" i="14"/>
  <c r="J4" i="14"/>
  <c r="O4" i="14"/>
  <c r="Q4" i="14"/>
  <c r="S4" i="14"/>
  <c r="U4" i="14"/>
  <c r="M4" i="14"/>
  <c r="M33" i="14"/>
  <c r="J33" i="14"/>
  <c r="E33" i="14"/>
  <c r="F33" i="14"/>
  <c r="D33" i="14"/>
  <c r="B18" i="16" l="1"/>
  <c r="B19" i="16"/>
  <c r="B20" i="16"/>
  <c r="B21" i="16"/>
  <c r="B17" i="16"/>
  <c r="B11" i="16"/>
  <c r="B30" i="16" s="1"/>
  <c r="B12" i="16"/>
  <c r="B13" i="16"/>
  <c r="B14" i="16"/>
  <c r="B10" i="16"/>
  <c r="C14" i="16" s="1"/>
  <c r="A7" i="16"/>
  <c r="A29" i="16" s="1"/>
  <c r="A6" i="16"/>
  <c r="C6" i="16" s="1"/>
  <c r="C21" i="16" l="1"/>
  <c r="C18" i="16"/>
  <c r="C20" i="16"/>
  <c r="C12" i="16"/>
  <c r="C11" i="16"/>
  <c r="C13" i="16"/>
  <c r="B29" i="16"/>
  <c r="B37" i="8"/>
  <c r="C32" i="16" l="1"/>
  <c r="C33" i="16" s="1"/>
  <c r="D27" i="8"/>
  <c r="F27" i="8" s="1"/>
  <c r="B59" i="8"/>
  <c r="B50" i="8"/>
  <c r="B49" i="8"/>
  <c r="B38" i="8"/>
  <c r="B36" i="8"/>
  <c r="B35" i="8"/>
  <c r="B34" i="8"/>
  <c r="B28" i="8"/>
  <c r="B27" i="8"/>
  <c r="B24" i="8"/>
  <c r="B23" i="8"/>
  <c r="G27" i="8" l="1"/>
  <c r="B61" i="8"/>
  <c r="S68" i="8"/>
  <c r="T68" i="8"/>
  <c r="S69" i="8"/>
  <c r="T69" i="8"/>
  <c r="S70" i="8"/>
  <c r="T70" i="8"/>
  <c r="S71" i="8"/>
  <c r="T71" i="8"/>
  <c r="S72" i="8"/>
  <c r="T72" i="8"/>
  <c r="S73" i="8"/>
  <c r="T73" i="8"/>
  <c r="S74" i="8"/>
  <c r="T74" i="8"/>
  <c r="S75" i="8"/>
  <c r="T75" i="8"/>
  <c r="S76" i="8"/>
  <c r="T76" i="8"/>
  <c r="S77" i="8"/>
  <c r="T77" i="8"/>
  <c r="S78" i="8"/>
  <c r="T78" i="8"/>
  <c r="S79" i="8"/>
  <c r="T79" i="8"/>
  <c r="S80" i="8"/>
  <c r="T80" i="8"/>
  <c r="S81" i="8"/>
  <c r="T81" i="8"/>
  <c r="S82" i="8"/>
  <c r="T82" i="8"/>
  <c r="S83" i="8"/>
  <c r="T83" i="8"/>
  <c r="S84" i="8"/>
  <c r="T84" i="8"/>
  <c r="S85" i="8"/>
  <c r="T85" i="8"/>
  <c r="S86" i="8"/>
  <c r="S87" i="8"/>
  <c r="T87" i="8"/>
  <c r="S88" i="8"/>
  <c r="T88" i="8"/>
  <c r="S89" i="8"/>
  <c r="T89" i="8"/>
  <c r="S90" i="8"/>
  <c r="T90" i="8"/>
  <c r="S91" i="8"/>
  <c r="T91" i="8"/>
  <c r="S92" i="8"/>
  <c r="T92" i="8"/>
  <c r="S93" i="8"/>
  <c r="T93" i="8"/>
  <c r="S94" i="8"/>
  <c r="T94" i="8"/>
  <c r="S95" i="8"/>
  <c r="T95" i="8"/>
  <c r="S96" i="8"/>
  <c r="T96" i="8"/>
  <c r="S97" i="8"/>
  <c r="T97" i="8"/>
  <c r="S98" i="8"/>
  <c r="T98" i="8"/>
  <c r="S99" i="8"/>
  <c r="T99" i="8"/>
  <c r="S100" i="8"/>
  <c r="T100" i="8"/>
  <c r="S101" i="8"/>
  <c r="T101" i="8"/>
  <c r="S102" i="8"/>
  <c r="T102" i="8"/>
  <c r="S103" i="8"/>
  <c r="T103" i="8"/>
  <c r="S104" i="8"/>
  <c r="T104" i="8"/>
  <c r="S105" i="8"/>
  <c r="T105" i="8"/>
  <c r="S106" i="8"/>
  <c r="T106" i="8"/>
  <c r="S107" i="8"/>
  <c r="S108" i="8"/>
  <c r="T108" i="8"/>
  <c r="E42" i="8" s="1"/>
  <c r="S109" i="8"/>
  <c r="T109" i="8"/>
  <c r="S110" i="8"/>
  <c r="T110" i="8"/>
  <c r="S111" i="8"/>
  <c r="T111" i="8"/>
  <c r="S112" i="8"/>
  <c r="T112" i="8"/>
  <c r="S113" i="8"/>
  <c r="T113" i="8"/>
  <c r="S114" i="8"/>
  <c r="T114" i="8"/>
  <c r="S115" i="8"/>
  <c r="T115" i="8"/>
  <c r="S116" i="8"/>
  <c r="T116" i="8"/>
  <c r="S117" i="8"/>
  <c r="T117" i="8"/>
  <c r="S118" i="8"/>
  <c r="T118" i="8"/>
  <c r="S119" i="8"/>
  <c r="T119" i="8"/>
  <c r="S120" i="8"/>
  <c r="T120" i="8"/>
  <c r="S121" i="8"/>
  <c r="T121" i="8"/>
  <c r="S122" i="8"/>
  <c r="T122" i="8"/>
  <c r="S123" i="8"/>
  <c r="T123" i="8"/>
  <c r="S124" i="8"/>
  <c r="S125" i="8"/>
  <c r="T125" i="8"/>
  <c r="S126" i="8"/>
  <c r="T126" i="8"/>
  <c r="S127" i="8"/>
  <c r="T127" i="8"/>
  <c r="S128" i="8"/>
  <c r="T128" i="8"/>
  <c r="S129" i="8"/>
  <c r="T129" i="8"/>
  <c r="S130" i="8"/>
  <c r="T130" i="8"/>
  <c r="S131" i="8"/>
  <c r="T131" i="8"/>
  <c r="S132" i="8"/>
  <c r="T132" i="8"/>
  <c r="S133" i="8"/>
  <c r="T133" i="8"/>
  <c r="S67" i="8"/>
  <c r="C6" i="15"/>
  <c r="B29" i="15"/>
  <c r="A29" i="15"/>
  <c r="B30" i="15"/>
  <c r="C21" i="15"/>
  <c r="C20" i="15"/>
  <c r="C18" i="15"/>
  <c r="C14" i="15"/>
  <c r="C13" i="15"/>
  <c r="C12" i="15"/>
  <c r="C11" i="15"/>
  <c r="E39" i="8" l="1"/>
  <c r="E41" i="8"/>
  <c r="E40" i="8"/>
  <c r="F39" i="8"/>
  <c r="D42" i="8"/>
  <c r="F42" i="8" s="1"/>
  <c r="D40" i="8"/>
  <c r="F40" i="8" s="1"/>
  <c r="D41" i="8"/>
  <c r="F41" i="8" s="1"/>
  <c r="C32" i="15"/>
  <c r="C33" i="15" s="1"/>
  <c r="P22" i="14"/>
  <c r="G41" i="8" l="1"/>
  <c r="G40" i="8"/>
  <c r="G42" i="8"/>
  <c r="G39" i="8"/>
  <c r="P52" i="14"/>
  <c r="P51" i="14"/>
  <c r="P50" i="14"/>
  <c r="L31" i="14" l="1"/>
  <c r="P23" i="14"/>
  <c r="K48" i="14"/>
  <c r="E48" i="14"/>
  <c r="F48" i="14" s="1"/>
  <c r="G48" i="14" s="1"/>
  <c r="H48" i="14" s="1"/>
  <c r="I48" i="14" s="1"/>
  <c r="K47" i="14"/>
  <c r="E47" i="14"/>
  <c r="F47" i="14" s="1"/>
  <c r="G47" i="14" s="1"/>
  <c r="H47" i="14" s="1"/>
  <c r="I47" i="14" s="1"/>
  <c r="K46" i="14"/>
  <c r="G46" i="14"/>
  <c r="K45" i="14"/>
  <c r="G45" i="14"/>
  <c r="K44" i="14"/>
  <c r="G44" i="14"/>
  <c r="E43" i="14"/>
  <c r="F43" i="14" s="1"/>
  <c r="G43" i="14" s="1"/>
  <c r="H43" i="14" s="1"/>
  <c r="I43" i="14" s="1"/>
  <c r="J43" i="14" s="1"/>
  <c r="K43" i="14" s="1"/>
  <c r="L43" i="14" s="1"/>
  <c r="M43" i="14" s="1"/>
  <c r="E42" i="14"/>
  <c r="F42" i="14" s="1"/>
  <c r="G42" i="14" s="1"/>
  <c r="H42" i="14" s="1"/>
  <c r="I42" i="14" s="1"/>
  <c r="J42" i="14" s="1"/>
  <c r="K42" i="14" s="1"/>
  <c r="L42" i="14" s="1"/>
  <c r="M42" i="14" s="1"/>
  <c r="E41" i="14"/>
  <c r="F41" i="14" s="1"/>
  <c r="G41" i="14" s="1"/>
  <c r="H41" i="14" s="1"/>
  <c r="I41" i="14" s="1"/>
  <c r="J41" i="14" s="1"/>
  <c r="K41" i="14" s="1"/>
  <c r="L41" i="14" s="1"/>
  <c r="M41" i="14" s="1"/>
  <c r="E40" i="14"/>
  <c r="F40" i="14" s="1"/>
  <c r="G40" i="14" s="1"/>
  <c r="H40" i="14" s="1"/>
  <c r="I40" i="14" s="1"/>
  <c r="J40" i="14" s="1"/>
  <c r="K40" i="14" s="1"/>
  <c r="L40" i="14" s="1"/>
  <c r="M40" i="14" s="1"/>
  <c r="E39" i="14"/>
  <c r="F39" i="14" s="1"/>
  <c r="G39" i="14" s="1"/>
  <c r="H39" i="14" s="1"/>
  <c r="I39" i="14" s="1"/>
  <c r="J39" i="14" s="1"/>
  <c r="K39" i="14" s="1"/>
  <c r="L39" i="14" s="1"/>
  <c r="M39" i="14" s="1"/>
  <c r="E38" i="14"/>
  <c r="E37" i="14"/>
  <c r="F37" i="14" s="1"/>
  <c r="G37" i="14" s="1"/>
  <c r="H37" i="14" s="1"/>
  <c r="I37" i="14" s="1"/>
  <c r="J37" i="14" s="1"/>
  <c r="K37" i="14" s="1"/>
  <c r="L37" i="14" s="1"/>
  <c r="M37" i="14" s="1"/>
  <c r="E36" i="14"/>
  <c r="F36" i="14" s="1"/>
  <c r="G36" i="14" s="1"/>
  <c r="H36" i="14" s="1"/>
  <c r="I36" i="14" s="1"/>
  <c r="J36" i="14" s="1"/>
  <c r="K36" i="14" s="1"/>
  <c r="L36" i="14" s="1"/>
  <c r="M36" i="14" s="1"/>
  <c r="E35" i="14"/>
  <c r="F35" i="14" s="1"/>
  <c r="G35" i="14" s="1"/>
  <c r="H35" i="14" s="1"/>
  <c r="I35" i="14" s="1"/>
  <c r="J35" i="14" s="1"/>
  <c r="K35" i="14" s="1"/>
  <c r="L35" i="14" s="1"/>
  <c r="M35" i="14" s="1"/>
  <c r="E34" i="14"/>
  <c r="F34" i="14" s="1"/>
  <c r="G34" i="14" s="1"/>
  <c r="H34" i="14" s="1"/>
  <c r="I34" i="14" s="1"/>
  <c r="J34" i="14" s="1"/>
  <c r="K34" i="14" s="1"/>
  <c r="L34" i="14" s="1"/>
  <c r="M34" i="14" s="1"/>
  <c r="K32" i="14"/>
  <c r="K33" i="14" s="1"/>
  <c r="G32" i="14"/>
  <c r="M31" i="14"/>
  <c r="F31" i="14"/>
  <c r="G30" i="14"/>
  <c r="G31" i="14" s="1"/>
  <c r="K29" i="14"/>
  <c r="L29" i="14" s="1"/>
  <c r="M29" i="14" s="1"/>
  <c r="K28" i="14"/>
  <c r="L28" i="14" s="1"/>
  <c r="M28" i="14" s="1"/>
  <c r="K27" i="14"/>
  <c r="L27" i="14" s="1"/>
  <c r="M27" i="14" s="1"/>
  <c r="K26" i="14"/>
  <c r="L26" i="14" s="1"/>
  <c r="M26" i="14" s="1"/>
  <c r="L48" i="14" l="1"/>
  <c r="P48" i="14" s="1"/>
  <c r="L47" i="14"/>
  <c r="L46" i="14"/>
  <c r="L45" i="14"/>
  <c r="L44" i="14"/>
  <c r="H46" i="14"/>
  <c r="H45" i="14"/>
  <c r="H44" i="14"/>
  <c r="H32" i="14"/>
  <c r="H33" i="14" s="1"/>
  <c r="G33" i="14"/>
  <c r="F38" i="14"/>
  <c r="G38" i="14" s="1"/>
  <c r="H38" i="14" s="1"/>
  <c r="I38" i="14" s="1"/>
  <c r="J38" i="14" s="1"/>
  <c r="K38" i="14" s="1"/>
  <c r="L38" i="14" s="1"/>
  <c r="M38" i="14" s="1"/>
  <c r="P34" i="14"/>
  <c r="F28" i="8" s="1"/>
  <c r="P24" i="14"/>
  <c r="C21" i="8" s="1"/>
  <c r="P42" i="14"/>
  <c r="P41" i="14"/>
  <c r="P40" i="14"/>
  <c r="P32" i="14"/>
  <c r="D37" i="8" s="1"/>
  <c r="F37" i="8" s="1"/>
  <c r="G37" i="8" s="1"/>
  <c r="P33" i="14"/>
  <c r="P47" i="14"/>
  <c r="P39" i="14"/>
  <c r="P46" i="14"/>
  <c r="D24" i="8" s="1"/>
  <c r="F24" i="8" s="1"/>
  <c r="P45" i="14"/>
  <c r="P37" i="14"/>
  <c r="P25" i="14"/>
  <c r="C26" i="8" s="1"/>
  <c r="P44" i="14"/>
  <c r="D23" i="8" s="1"/>
  <c r="E23" i="8" s="1"/>
  <c r="P36" i="14"/>
  <c r="P43" i="14"/>
  <c r="P35" i="14"/>
  <c r="H30" i="14"/>
  <c r="M48" i="14" l="1"/>
  <c r="M47" i="14"/>
  <c r="M46" i="14"/>
  <c r="M45" i="14"/>
  <c r="M44" i="14"/>
  <c r="I46" i="14"/>
  <c r="I45" i="14"/>
  <c r="I44" i="14"/>
  <c r="F23" i="8"/>
  <c r="G23" i="8" s="1"/>
  <c r="I32" i="14"/>
  <c r="I33" i="14" s="1"/>
  <c r="G24" i="8"/>
  <c r="G28" i="8"/>
  <c r="P38" i="14"/>
  <c r="D25" i="8"/>
  <c r="H31" i="14"/>
  <c r="I30" i="14"/>
  <c r="K5" i="14"/>
  <c r="K6" i="14"/>
  <c r="K10" i="14"/>
  <c r="K12" i="14"/>
  <c r="K13" i="14"/>
  <c r="F25" i="8" l="1"/>
  <c r="G25" i="8" s="1"/>
  <c r="E25" i="8"/>
  <c r="I31" i="14"/>
  <c r="J30" i="14"/>
  <c r="F19" i="14"/>
  <c r="F38" i="8"/>
  <c r="G38" i="8" l="1"/>
  <c r="J31" i="14"/>
  <c r="K30" i="14"/>
  <c r="K31" i="14" s="1"/>
  <c r="X19" i="14" l="1"/>
  <c r="X18" i="14"/>
  <c r="AD19" i="14"/>
  <c r="AA19" i="14" s="1"/>
  <c r="AD18" i="14"/>
  <c r="AA18" i="14" s="1"/>
  <c r="AD17" i="14"/>
  <c r="AD16" i="14"/>
  <c r="AD15" i="14"/>
  <c r="AD14" i="14"/>
  <c r="AA14" i="14" s="1"/>
  <c r="AJ13" i="14"/>
  <c r="AA13" i="14"/>
  <c r="H13" i="14"/>
  <c r="AJ12" i="14"/>
  <c r="AA12" i="14"/>
  <c r="I12" i="14"/>
  <c r="AJ11" i="14"/>
  <c r="AA11" i="14"/>
  <c r="Z11" i="14"/>
  <c r="Y11" i="14"/>
  <c r="X11" i="14"/>
  <c r="W11" i="14"/>
  <c r="V11" i="14"/>
  <c r="J11" i="14"/>
  <c r="K11" i="14" s="1"/>
  <c r="G11" i="14"/>
  <c r="F11" i="14"/>
  <c r="E11" i="14"/>
  <c r="D11" i="14"/>
  <c r="AJ10" i="14"/>
  <c r="AD10" i="14"/>
  <c r="AA10" i="14"/>
  <c r="AJ9" i="14"/>
  <c r="AA9" i="14"/>
  <c r="AJ8" i="14"/>
  <c r="AA8" i="14"/>
  <c r="AJ7" i="14"/>
  <c r="AA7" i="14"/>
  <c r="X7" i="14"/>
  <c r="W7" i="14"/>
  <c r="V7" i="14"/>
  <c r="V8" i="14" s="1"/>
  <c r="J7" i="14"/>
  <c r="K7" i="14" s="1"/>
  <c r="H7" i="14"/>
  <c r="I7" i="14" s="1"/>
  <c r="AJ6" i="14"/>
  <c r="AA6" i="14"/>
  <c r="I6" i="14"/>
  <c r="AJ5" i="14"/>
  <c r="AA5" i="14"/>
  <c r="Z5" i="14"/>
  <c r="Y5" i="14"/>
  <c r="U5" i="14"/>
  <c r="U6" i="14" s="1"/>
  <c r="U7" i="14" s="1"/>
  <c r="U8" i="14" s="1"/>
  <c r="U9" i="14" s="1"/>
  <c r="U10" i="14" s="1"/>
  <c r="U11" i="14" s="1"/>
  <c r="U12" i="14" s="1"/>
  <c r="U13" i="14" s="1"/>
  <c r="T5" i="14"/>
  <c r="T6" i="14" s="1"/>
  <c r="T7" i="14" s="1"/>
  <c r="T8" i="14" s="1"/>
  <c r="T9" i="14" s="1"/>
  <c r="T10" i="14" s="1"/>
  <c r="T11" i="14" s="1"/>
  <c r="T12" i="14" s="1"/>
  <c r="T13" i="14" s="1"/>
  <c r="S5" i="14"/>
  <c r="S6" i="14" s="1"/>
  <c r="S7" i="14" s="1"/>
  <c r="S8" i="14" s="1"/>
  <c r="S9" i="14" s="1"/>
  <c r="S10" i="14" s="1"/>
  <c r="S11" i="14" s="1"/>
  <c r="S12" i="14" s="1"/>
  <c r="S13" i="14" s="1"/>
  <c r="R5" i="14"/>
  <c r="R6" i="14" s="1"/>
  <c r="R7" i="14" s="1"/>
  <c r="R8" i="14" s="1"/>
  <c r="R9" i="14" s="1"/>
  <c r="R10" i="14" s="1"/>
  <c r="R11" i="14" s="1"/>
  <c r="R12" i="14" s="1"/>
  <c r="R13" i="14" s="1"/>
  <c r="Q5" i="14"/>
  <c r="Q6" i="14" s="1"/>
  <c r="Q7" i="14" s="1"/>
  <c r="Q8" i="14" s="1"/>
  <c r="Q9" i="14" s="1"/>
  <c r="Q10" i="14" s="1"/>
  <c r="Q11" i="14" s="1"/>
  <c r="Q12" i="14" s="1"/>
  <c r="Q13" i="14" s="1"/>
  <c r="P5" i="14"/>
  <c r="P6" i="14" s="1"/>
  <c r="P7" i="14" s="1"/>
  <c r="P8" i="14" s="1"/>
  <c r="P9" i="14" s="1"/>
  <c r="P10" i="14" s="1"/>
  <c r="P11" i="14" s="1"/>
  <c r="P12" i="14" s="1"/>
  <c r="P13" i="14" s="1"/>
  <c r="O5" i="14"/>
  <c r="O6" i="14" s="1"/>
  <c r="O7" i="14" s="1"/>
  <c r="O8" i="14" s="1"/>
  <c r="O9" i="14" s="1"/>
  <c r="O10" i="14" s="1"/>
  <c r="O11" i="14" s="1"/>
  <c r="O12" i="14" s="1"/>
  <c r="O13" i="14" s="1"/>
  <c r="N5" i="14"/>
  <c r="N6" i="14" s="1"/>
  <c r="N7" i="14" s="1"/>
  <c r="N8" i="14" s="1"/>
  <c r="N9" i="14" s="1"/>
  <c r="N10" i="14" s="1"/>
  <c r="N11" i="14" s="1"/>
  <c r="N12" i="14" s="1"/>
  <c r="N13" i="14" s="1"/>
  <c r="M5" i="14"/>
  <c r="M6" i="14" s="1"/>
  <c r="M7" i="14" s="1"/>
  <c r="M8" i="14" s="1"/>
  <c r="M9" i="14" s="1"/>
  <c r="M10" i="14" s="1"/>
  <c r="M11" i="14" s="1"/>
  <c r="M12" i="14" s="1"/>
  <c r="M13" i="14" s="1"/>
  <c r="L5" i="14"/>
  <c r="L6" i="14" s="1"/>
  <c r="L7" i="14" s="1"/>
  <c r="L8" i="14" s="1"/>
  <c r="L9" i="14" s="1"/>
  <c r="L10" i="14" s="1"/>
  <c r="L11" i="14" s="1"/>
  <c r="L12" i="14" s="1"/>
  <c r="L13" i="14" s="1"/>
  <c r="AJ4" i="14"/>
  <c r="AE4" i="14"/>
  <c r="AD4" i="14"/>
  <c r="AC4" i="14"/>
  <c r="AA4" i="14"/>
  <c r="K4" i="14"/>
  <c r="AD11" i="14" l="1"/>
  <c r="AD12" i="14" s="1"/>
  <c r="AB10" i="14"/>
  <c r="F12" i="14"/>
  <c r="Z6" i="14"/>
  <c r="X8" i="14"/>
  <c r="W12" i="14"/>
  <c r="G12" i="14"/>
  <c r="AD5" i="14"/>
  <c r="Y6" i="14"/>
  <c r="V9" i="14"/>
  <c r="V12" i="14"/>
  <c r="AB4" i="14"/>
  <c r="AB5" i="14"/>
  <c r="AB8" i="14"/>
  <c r="X12" i="14"/>
  <c r="AB13" i="14"/>
  <c r="AB6" i="14"/>
  <c r="AC5" i="14"/>
  <c r="W8" i="14"/>
  <c r="D12" i="14"/>
  <c r="Y12" i="14"/>
  <c r="AB9" i="14"/>
  <c r="E12" i="14"/>
  <c r="Z12" i="14"/>
  <c r="AB12" i="14"/>
  <c r="AA15" i="14"/>
  <c r="AB7" i="14"/>
  <c r="AB11" i="14"/>
  <c r="AA16" i="14"/>
  <c r="AA17" i="14"/>
  <c r="AE5" i="14"/>
  <c r="J8" i="14"/>
  <c r="K8" i="14" s="1"/>
  <c r="H8" i="14"/>
  <c r="H9" i="14" s="1"/>
  <c r="I13" i="14"/>
  <c r="V13" i="14" l="1"/>
  <c r="J9" i="14"/>
  <c r="K9" i="14" s="1"/>
  <c r="Z13" i="14"/>
  <c r="Y13" i="14"/>
  <c r="W13" i="14"/>
  <c r="I8" i="14"/>
  <c r="X9" i="14"/>
  <c r="AE6" i="14"/>
  <c r="D13" i="14"/>
  <c r="Y7" i="14"/>
  <c r="Z7" i="14"/>
  <c r="W9" i="14"/>
  <c r="AD13" i="14"/>
  <c r="E13" i="14"/>
  <c r="AD6" i="14"/>
  <c r="AC6" i="14"/>
  <c r="X13" i="14"/>
  <c r="G13" i="14"/>
  <c r="F13" i="14"/>
  <c r="I9" i="14"/>
  <c r="H10" i="14"/>
  <c r="AC7" i="14" l="1"/>
  <c r="Y8" i="14"/>
  <c r="Z8" i="14"/>
  <c r="Z9" i="14" s="1"/>
  <c r="AD7" i="14"/>
  <c r="AE7" i="14"/>
  <c r="H11" i="14"/>
  <c r="I10" i="14"/>
  <c r="AE8" i="14" l="1"/>
  <c r="Y9" i="14"/>
  <c r="AC8" i="14"/>
  <c r="AD8" i="14"/>
  <c r="I11" i="14"/>
  <c r="AC9" i="14" l="1"/>
  <c r="AD9" i="14"/>
  <c r="AE9" i="14"/>
  <c r="AC10" i="14" l="1"/>
  <c r="AE10" i="14"/>
  <c r="AE11" i="14" l="1"/>
  <c r="AC11" i="14"/>
  <c r="AH10" i="14"/>
  <c r="AC12" i="14" l="1"/>
  <c r="AH11" i="14"/>
  <c r="AE12" i="14"/>
  <c r="C50" i="8"/>
  <c r="AC13" i="14" l="1"/>
  <c r="AH12" i="14"/>
  <c r="AE13" i="14"/>
  <c r="C49" i="8"/>
  <c r="C48" i="8"/>
  <c r="B48" i="8"/>
  <c r="AE14" i="14" l="1"/>
  <c r="AE15" i="14" s="1"/>
  <c r="AH13" i="14"/>
  <c r="AE16" i="14" l="1"/>
  <c r="AE17" i="14" l="1"/>
  <c r="AE18" i="14" l="1"/>
  <c r="AE19" i="14" s="1"/>
  <c r="C22" i="8" l="1"/>
  <c r="B22" i="8" s="1"/>
  <c r="G4" i="14" l="1"/>
  <c r="G5" i="14" s="1"/>
  <c r="G6" i="14" s="1"/>
  <c r="G7" i="14" s="1"/>
  <c r="G8" i="14" s="1"/>
  <c r="G9" i="14" s="1"/>
  <c r="F4" i="14"/>
  <c r="F5" i="14" s="1"/>
  <c r="F6" i="14" s="1"/>
  <c r="F7" i="14" s="1"/>
  <c r="F8" i="14" s="1"/>
  <c r="F9" i="14" s="1"/>
  <c r="H4" i="14"/>
  <c r="I4" i="14" s="1"/>
  <c r="D4" i="14"/>
  <c r="D5" i="14" s="1"/>
  <c r="E4" i="14"/>
  <c r="E5" i="14" s="1"/>
  <c r="E28" i="14"/>
  <c r="F28" i="14" s="1"/>
  <c r="E29" i="14"/>
  <c r="F29" i="14" s="1"/>
  <c r="E26" i="14"/>
  <c r="F26" i="14" s="1"/>
  <c r="E27" i="14"/>
  <c r="F27" i="14" s="1"/>
  <c r="D31" i="14"/>
  <c r="E30" i="14"/>
  <c r="E31" i="14" l="1"/>
  <c r="P31" i="14" s="1"/>
  <c r="D36" i="8" s="1"/>
  <c r="P30" i="14"/>
  <c r="D26" i="8" s="1"/>
  <c r="E26" i="8" s="1"/>
  <c r="G27" i="14"/>
  <c r="H27" i="14" s="1"/>
  <c r="I27" i="14" s="1"/>
  <c r="P27" i="14"/>
  <c r="D34" i="8" s="1"/>
  <c r="G29" i="14"/>
  <c r="H29" i="14" s="1"/>
  <c r="I29" i="14" s="1"/>
  <c r="P29" i="14"/>
  <c r="D35" i="8" s="1"/>
  <c r="G26" i="14"/>
  <c r="H26" i="14" s="1"/>
  <c r="I26" i="14" s="1"/>
  <c r="P26" i="14"/>
  <c r="G28" i="14"/>
  <c r="H28" i="14" s="1"/>
  <c r="I28" i="14" s="1"/>
  <c r="P28" i="14"/>
  <c r="D22" i="8" s="1"/>
  <c r="E22" i="8" s="1"/>
  <c r="F18" i="14"/>
  <c r="AR13" i="14" s="1"/>
  <c r="AR5" i="14"/>
  <c r="D6" i="14"/>
  <c r="D7" i="14" s="1"/>
  <c r="AH4" i="14"/>
  <c r="H5" i="14"/>
  <c r="I5" i="14" s="1"/>
  <c r="AH5" i="14" s="1"/>
  <c r="E6" i="14"/>
  <c r="AR4" i="14" l="1"/>
  <c r="AR11" i="14"/>
  <c r="AR10" i="14"/>
  <c r="F26" i="8"/>
  <c r="G26" i="8" s="1"/>
  <c r="F36" i="8"/>
  <c r="G36" i="8" s="1"/>
  <c r="AR12" i="14"/>
  <c r="AG4" i="14"/>
  <c r="AM4" i="14" s="1"/>
  <c r="AN4" i="14" s="1"/>
  <c r="AG12" i="14"/>
  <c r="AK12" i="14" s="1"/>
  <c r="AL12" i="14" s="1"/>
  <c r="D21" i="8"/>
  <c r="E21" i="8" s="1"/>
  <c r="P54" i="14"/>
  <c r="D58" i="8" s="1"/>
  <c r="AG10" i="14"/>
  <c r="AK10" i="14" s="1"/>
  <c r="AL10" i="14" s="1"/>
  <c r="F35" i="8"/>
  <c r="G35" i="8" s="1"/>
  <c r="F34" i="8"/>
  <c r="G34" i="8" s="1"/>
  <c r="F22" i="8"/>
  <c r="G22" i="8" s="1"/>
  <c r="AG13" i="14"/>
  <c r="AM13" i="14" s="1"/>
  <c r="AN13" i="14" s="1"/>
  <c r="AG11" i="14"/>
  <c r="AM11" i="14" s="1"/>
  <c r="AN11" i="14" s="1"/>
  <c r="AG6" i="14"/>
  <c r="AK6" i="14" s="1"/>
  <c r="AL6" i="14" s="1"/>
  <c r="AR6" i="14"/>
  <c r="AG5" i="14"/>
  <c r="D8" i="14"/>
  <c r="AG7" i="14"/>
  <c r="AR7" i="14"/>
  <c r="E7" i="14"/>
  <c r="AH6" i="14"/>
  <c r="AI12" i="14" l="1"/>
  <c r="AO12" i="14" s="1"/>
  <c r="AP12" i="14" s="1"/>
  <c r="AM12" i="14"/>
  <c r="AN12" i="14" s="1"/>
  <c r="AI4" i="14"/>
  <c r="AO4" i="14" s="1"/>
  <c r="AP4" i="14" s="1"/>
  <c r="AK4" i="14"/>
  <c r="AL4" i="14" s="1"/>
  <c r="AM10" i="14"/>
  <c r="AN10" i="14" s="1"/>
  <c r="AK13" i="14"/>
  <c r="AL13" i="14" s="1"/>
  <c r="AI13" i="14"/>
  <c r="AO13" i="14" s="1"/>
  <c r="AP13" i="14" s="1"/>
  <c r="AI11" i="14"/>
  <c r="AO11" i="14" s="1"/>
  <c r="AP11" i="14" s="1"/>
  <c r="AK11" i="14"/>
  <c r="AL11" i="14" s="1"/>
  <c r="AI10" i="14"/>
  <c r="AO10" i="14" s="1"/>
  <c r="AP10" i="14" s="1"/>
  <c r="B39" i="16"/>
  <c r="B24" i="16" s="1"/>
  <c r="B24" i="15"/>
  <c r="D61" i="8"/>
  <c r="D59" i="8"/>
  <c r="F21" i="8"/>
  <c r="E44" i="8"/>
  <c r="D44" i="8"/>
  <c r="AK5" i="14"/>
  <c r="AL5" i="14" s="1"/>
  <c r="AM5" i="14"/>
  <c r="AN5" i="14" s="1"/>
  <c r="AI5" i="14"/>
  <c r="AG8" i="14"/>
  <c r="AR8" i="14"/>
  <c r="D9" i="14"/>
  <c r="AI6" i="14"/>
  <c r="AM6" i="14"/>
  <c r="AN6" i="14" s="1"/>
  <c r="E8" i="14"/>
  <c r="AH7" i="14"/>
  <c r="AI7" i="14" s="1"/>
  <c r="AK7" i="14"/>
  <c r="AL7" i="14" s="1"/>
  <c r="I49" i="8" l="1"/>
  <c r="D49" i="8"/>
  <c r="D48" i="8"/>
  <c r="I48" i="8"/>
  <c r="D50" i="8"/>
  <c r="I50" i="8"/>
  <c r="B28" i="15"/>
  <c r="B32" i="15" s="1"/>
  <c r="B33" i="15" s="1"/>
  <c r="B34" i="15" s="1"/>
  <c r="B35" i="15" s="1"/>
  <c r="B40" i="16"/>
  <c r="B28" i="16" s="1"/>
  <c r="B32" i="16" s="1"/>
  <c r="B33" i="16" s="1"/>
  <c r="B34" i="16" s="1"/>
  <c r="B35" i="16" s="1"/>
  <c r="G21" i="8"/>
  <c r="G44" i="8" s="1"/>
  <c r="F44" i="8"/>
  <c r="AO5" i="14"/>
  <c r="AP5" i="14" s="1"/>
  <c r="AO7" i="14"/>
  <c r="AP7" i="14" s="1"/>
  <c r="AM7" i="14"/>
  <c r="AN7" i="14" s="1"/>
  <c r="AO6" i="14"/>
  <c r="AP6" i="14" s="1"/>
  <c r="E9" i="14"/>
  <c r="AH9" i="14" s="1"/>
  <c r="AH8" i="14"/>
  <c r="AM8" i="14" s="1"/>
  <c r="AK8" i="14"/>
  <c r="AL8" i="14" s="1"/>
  <c r="AG9" i="14"/>
  <c r="AR9" i="14"/>
  <c r="C16" i="8" l="1"/>
  <c r="D51" i="8" s="1"/>
  <c r="D52" i="8" s="1"/>
  <c r="D54" i="8" s="1"/>
  <c r="D56" i="8" s="1"/>
  <c r="J52" i="8"/>
  <c r="K52" i="8" s="1"/>
  <c r="K54" i="8" s="1"/>
  <c r="K56" i="8" s="1"/>
  <c r="F50" i="8"/>
  <c r="G50" i="8" s="1"/>
  <c r="E50" i="8"/>
  <c r="F48" i="8"/>
  <c r="E48" i="8"/>
  <c r="F49" i="8"/>
  <c r="G49" i="8" s="1"/>
  <c r="E49" i="8"/>
  <c r="AI8" i="14"/>
  <c r="AN8" i="14"/>
  <c r="AM9" i="14"/>
  <c r="AN9" i="14" s="1"/>
  <c r="AK9" i="14"/>
  <c r="AL9" i="14" s="1"/>
  <c r="AI9" i="14"/>
  <c r="G48" i="8" l="1"/>
  <c r="G54" i="8" s="1"/>
  <c r="G56" i="8" s="1"/>
  <c r="F54" i="8"/>
  <c r="F56" i="8" s="1"/>
  <c r="E54" i="8"/>
  <c r="E56" i="8" s="1"/>
  <c r="AO9" i="14"/>
  <c r="AP9" i="14" s="1"/>
  <c r="AO8" i="14"/>
  <c r="AP8" i="14" s="1"/>
</calcChain>
</file>

<file path=xl/sharedStrings.xml><?xml version="1.0" encoding="utf-8"?>
<sst xmlns="http://schemas.openxmlformats.org/spreadsheetml/2006/main" count="577" uniqueCount="263">
  <si>
    <t>Nivel</t>
  </si>
  <si>
    <t>Grupo</t>
  </si>
  <si>
    <t>Sueldo Base</t>
  </si>
  <si>
    <t xml:space="preserve">Trienios </t>
  </si>
  <si>
    <t>Residencia Isla Capitalina</t>
  </si>
  <si>
    <t>Residencia Isla No Capitalina</t>
  </si>
  <si>
    <t>Trienios Residencia Isla No Capitalina</t>
  </si>
  <si>
    <t>Director de Centros de Profesores</t>
  </si>
  <si>
    <t>Director de Residencia Escolar Permanente</t>
  </si>
  <si>
    <t>Director de Residencia Escolar</t>
  </si>
  <si>
    <t>Hora Lectiva Complementaria, Refuerzo Educativo. Grupo A2</t>
  </si>
  <si>
    <t>Jefe de Departamento</t>
  </si>
  <si>
    <t>Maestros de Ocio con Residencia Permanente</t>
  </si>
  <si>
    <t>MUFACE</t>
  </si>
  <si>
    <t>Encargado/a Comedor Gestión Directa. Módulo Hasta 100 comensales.</t>
  </si>
  <si>
    <t>Encargado/a Comedor Gestión Directa. Módulo De 101 a 300 comensales.</t>
  </si>
  <si>
    <t>Encargado/a Comedor Gestión Directa. Módulo Más de 300 comensales.</t>
  </si>
  <si>
    <t>Encargado/a Comedor Gestión Contratada. Módulo Hasta 100 comensales.</t>
  </si>
  <si>
    <t>Encargado/a Comedor Gestión Contratada. Módulo De 101 a 300 comensales.</t>
  </si>
  <si>
    <t>Encargado/a Comedor Gestión Contratada. Módulo Más de 300 comensales.</t>
  </si>
  <si>
    <t>Director/ra IES, CEO, EA. Centro Tipo A (1650 o más Alumnos)</t>
  </si>
  <si>
    <t>Director/ra IES, CEO, EA. Centro Tipo B (de 901 a 1649 Alumnos)</t>
  </si>
  <si>
    <t>Director/ra IES, CEO, EA. Centro Tipo C (de 581 a 900 Alumnos)</t>
  </si>
  <si>
    <t>Director/ra IES, CEO, EA. Centro Tipo D (hasta 580 Alumnos)</t>
  </si>
  <si>
    <t>Jefe Estudios IES, CEO, EA. Centro Tipo A (1650 o más Alumnos)</t>
  </si>
  <si>
    <t>Jefe Estudios IES, CEO, EA. Centro Tipo B (de 901 a 1649 Alumnos)</t>
  </si>
  <si>
    <t>Jefe Estudios IES, CEO, EA. Centro Tipo C (de 581 a 900 Alumnos)</t>
  </si>
  <si>
    <t>Jefe Estudios IES, CEO, EA. Centro Tipo D (hasta 580 Alumnos)</t>
  </si>
  <si>
    <t>Secretario/a IES, CEO, EA. Centro Tipo A (1650 o más Alumnos)</t>
  </si>
  <si>
    <t>Secretario/a IES, CEO, EA. Centro Tipo B (de 901 a 1649 Alumnos)</t>
  </si>
  <si>
    <t>Secretario/a IES, CEO, EA. Centro Tipo C (de 581 a 900 Alumnos)</t>
  </si>
  <si>
    <t>Secretario/a IES, CEO, EA. Centro Tipo D (hasta 580 Alumnos)</t>
  </si>
  <si>
    <t>Vicedirector/ra IES, CEO, EA. Centro Tipo A (1650 o más Alumnos)</t>
  </si>
  <si>
    <t>Vicedirector/ra IES, CEO, EA. Centro Tipo B (de 901 a 1649 Alumnos)</t>
  </si>
  <si>
    <t>Vicedirector/ra IES, CEO, EA. Centro Tipo C (de 581 a 900 Alumnos)</t>
  </si>
  <si>
    <t>Vicedirector/ra IES, CEO, EA. Centro Tipo D (hasta 580 Alumnos)</t>
  </si>
  <si>
    <t>Jefe Estudios Adjunto IES, CEO, EA. Centro Tipo A (1650 o más Alumnos)</t>
  </si>
  <si>
    <t>Jefe Estudios Adjunto IES, CEO, EA. Centro Tipo B (de 901 a 1649 Alumnos)</t>
  </si>
  <si>
    <t>Jefe Estudios Adjunto IES, CEO, EA. Centro Tipo C (de 581 a 900 Alumnos)</t>
  </si>
  <si>
    <t>Jefe Estudios Adjunto IES, CEO, EA. Centro Tipo D (hasta 580 Alumnos)</t>
  </si>
  <si>
    <t>Vicedirector/ra. CEIP, CEP, CEEE, EEI Tipo A (Más de 35 Unidades)</t>
  </si>
  <si>
    <t>Vicedirector/ra. CEIP, CEP, CEEE, EEI Tipo B (27 a 35 Unidades)</t>
  </si>
  <si>
    <t>Vicedirector/ra. CEIP, CEP, CEEE, EEI Tipo C (18 a 26 Unidades)</t>
  </si>
  <si>
    <t>N</t>
  </si>
  <si>
    <t>Trienios</t>
  </si>
  <si>
    <t>INGRESOS BRUTOS</t>
  </si>
  <si>
    <t>GASTOS</t>
  </si>
  <si>
    <t>S</t>
  </si>
  <si>
    <t>Junio</t>
  </si>
  <si>
    <t>Diciembre</t>
  </si>
  <si>
    <t>% Retención IRPF</t>
  </si>
  <si>
    <t>DESCUENTOS</t>
  </si>
  <si>
    <t>Maestros de Primero y Segundo de Enseñanza Secundaria Obligatoria</t>
  </si>
  <si>
    <t>A1</t>
  </si>
  <si>
    <t>Cuerpo Docente</t>
  </si>
  <si>
    <t>Funcionario</t>
  </si>
  <si>
    <t>Nómina con Paga Extraordinaria</t>
  </si>
  <si>
    <t>Interino</t>
  </si>
  <si>
    <t>Aragón</t>
  </si>
  <si>
    <t>Asturias</t>
  </si>
  <si>
    <t>Canarias</t>
  </si>
  <si>
    <t>Cantabria</t>
  </si>
  <si>
    <t>Extremadura</t>
  </si>
  <si>
    <t>Madrid (Comunidad de)</t>
  </si>
  <si>
    <t>Murcia (Región de)</t>
  </si>
  <si>
    <t>País Vasco</t>
  </si>
  <si>
    <t>Profesores Técnicos de Formación Profesional</t>
  </si>
  <si>
    <t>Profesores de Escuelas Oficiales de Idiomas</t>
  </si>
  <si>
    <t>Profesores de Artes Plásticas y Diseño</t>
  </si>
  <si>
    <t>Maestros de Taller de Artes Plásticas y Diseño</t>
  </si>
  <si>
    <t>Maestros</t>
  </si>
  <si>
    <t>510-Inspección</t>
  </si>
  <si>
    <t>511-Catedráticos</t>
  </si>
  <si>
    <t>590-Profesores Enseñanza Secundaria</t>
  </si>
  <si>
    <t>591-Profesores Técnicos de Formación Profesional</t>
  </si>
  <si>
    <t>592-Profesores de Escuelas Oficiales de Idiomas</t>
  </si>
  <si>
    <t>594-Profesores de Música y Artes Escénicas</t>
  </si>
  <si>
    <t>595-Profesores de Artes Plásticas y Diseño</t>
  </si>
  <si>
    <t>596-Maestros de Taller de Artes Plásticas y Diseño</t>
  </si>
  <si>
    <t>597-Maestros</t>
  </si>
  <si>
    <t>A2</t>
  </si>
  <si>
    <t>Profesores de Enseñanza Secundaria</t>
  </si>
  <si>
    <t>Profesores de Musica y Artes Escénicas</t>
  </si>
  <si>
    <t>J. Estudios. CEIP, CEP, CEEE, EEI, CEPA. Tipo A (Más de 35 Unidades)</t>
  </si>
  <si>
    <t>J. Estudios. CEIP, CEP, CEEE, EEI, CEPA. Tipo B (27 a 35 Unidades)</t>
  </si>
  <si>
    <t>J. Estudios. CEIP, CEP, CEEE, EEI, CEPA. Tipo C (18 a 26 Unidades)</t>
  </si>
  <si>
    <t>J. Estudios. CEIP, CEP, CEEE, EEI, CEPA. Tipo D (9 a 17 Unidades)</t>
  </si>
  <si>
    <t>Secretario/a. CEIP, CEP, CEEE, EEI, CEPA. Tipo A (Más de 35 Unidades)</t>
  </si>
  <si>
    <t>Secretario/a. CEIP, CEP, CEEE, EEI, CEPA. Tipo B (27 a 35 Unidades)</t>
  </si>
  <si>
    <t>Secretario/a. CEIP, CEP, CEEE, EEI, CEPA. Tipo C (18 a 26 Unidades)</t>
  </si>
  <si>
    <t>Secretario/a. CEIP, CEP, CEEE, EEI, CEPA. Tipo D (9 a 17 Unidades)</t>
  </si>
  <si>
    <t>Secretario/a. CEIP, CEP, CEEE, EEI, CEPA. Tipo E (6 a 8 Unidades)</t>
  </si>
  <si>
    <t>DATOS PARA EL CÁLCULO DEL % DE RETENCIÓN DE IRPF</t>
  </si>
  <si>
    <t>Cumplimentar las casillas de fondo amarillo</t>
  </si>
  <si>
    <t>CONTRIBUYENTE</t>
  </si>
  <si>
    <t>REDUCCIÓN</t>
  </si>
  <si>
    <t>Mínimo personal</t>
  </si>
  <si>
    <t>Discapacidad del contribuyente entre el 33% y el 65%</t>
  </si>
  <si>
    <t>NO</t>
  </si>
  <si>
    <t>Discapacidad del contribuyente igual o superior al 65%</t>
  </si>
  <si>
    <t>DESCENDIENTES, con rentas inferiores a 8.000€</t>
  </si>
  <si>
    <t>El contribuyente es el único que se desgrava por hijos.</t>
  </si>
  <si>
    <t>Número de hijos menores de veinticinco años o con discapacidad cualquiera que sea su edad</t>
  </si>
  <si>
    <t xml:space="preserve">De los anteriores, número de hijos menores de 3 años </t>
  </si>
  <si>
    <t xml:space="preserve">Número de descendientes con grado de discapacidad igual o mayor del 33% y menor del 65% </t>
  </si>
  <si>
    <t>Número de descendientes con grado de discapacidad igual o mayor del 65%</t>
  </si>
  <si>
    <t>ASCENDIENTES, que convivan y con rentas inferiores a 8.000€</t>
  </si>
  <si>
    <t xml:space="preserve">Número de contribuyentes que se aplican esta deducción </t>
  </si>
  <si>
    <t>Número de ascendientes mayores de 65 años o con discapacidad cualquiera que sea su edad</t>
  </si>
  <si>
    <t xml:space="preserve">De los anteriores, número de asecendientes con más de 75 años </t>
  </si>
  <si>
    <t>Número de ascendientes con grado de discapacidad igual o mayor del 33% y menor del 65%</t>
  </si>
  <si>
    <t>Número de ascendientes con grado de discapacidad igual o mayor del 65%</t>
  </si>
  <si>
    <t>SUELDO BRUTO</t>
  </si>
  <si>
    <t>Rendimiento Bruto</t>
  </si>
  <si>
    <t>DEDUCCIONES</t>
  </si>
  <si>
    <t>Rendimiento del trabajo</t>
  </si>
  <si>
    <t>3 o más hijos</t>
  </si>
  <si>
    <t>Base IRPF</t>
  </si>
  <si>
    <t>Cuota IRPF</t>
  </si>
  <si>
    <t>Cuota Final IRPF</t>
  </si>
  <si>
    <t>% de retención de IRPF</t>
  </si>
  <si>
    <t>Trabajador</t>
  </si>
  <si>
    <t>Empresa</t>
  </si>
  <si>
    <t>Seguridad Social y Cuota sindical</t>
  </si>
  <si>
    <t>Cuerpo</t>
  </si>
  <si>
    <t>E</t>
  </si>
  <si>
    <t>C2</t>
  </si>
  <si>
    <t>C1</t>
  </si>
  <si>
    <t>B</t>
  </si>
  <si>
    <t>Extra Sueldo Base</t>
  </si>
  <si>
    <t>SI</t>
  </si>
  <si>
    <t>Carrera (anterior a 1 enero 2011)</t>
  </si>
  <si>
    <t>Carrera (posterior a 1 enero 2011)</t>
  </si>
  <si>
    <t>Coordinador de Servicios Centrales. Tipo A1 (A)</t>
  </si>
  <si>
    <t>Coordinador de Servicios Centrales. Tipo A2 (B)</t>
  </si>
  <si>
    <t>Agosto</t>
  </si>
  <si>
    <t>Isla No Capitalina</t>
  </si>
  <si>
    <t>1 sexenio</t>
  </si>
  <si>
    <t>2 sexenios</t>
  </si>
  <si>
    <t>3 sexenios</t>
  </si>
  <si>
    <t>4 sexenios</t>
  </si>
  <si>
    <t>Residencia</t>
  </si>
  <si>
    <t>Extra Trienios</t>
  </si>
  <si>
    <t xml:space="preserve">Complem. Destino </t>
  </si>
  <si>
    <t xml:space="preserve">Extra Complem. Destino </t>
  </si>
  <si>
    <t>Complem. Específico</t>
  </si>
  <si>
    <t>Adicional Complem. Específico</t>
  </si>
  <si>
    <t>1 sexenio Extra</t>
  </si>
  <si>
    <t>2 sexenios Extra</t>
  </si>
  <si>
    <t>3 sexenios Extra</t>
  </si>
  <si>
    <t>4 sexenios Extra</t>
  </si>
  <si>
    <t>5 sexenios</t>
  </si>
  <si>
    <t>5 sexenios Extra</t>
  </si>
  <si>
    <t>Isla Capitalina</t>
  </si>
  <si>
    <t>Clase Pasivas</t>
  </si>
  <si>
    <t>Sexenios</t>
  </si>
  <si>
    <t>Destino</t>
  </si>
  <si>
    <t>Mes Bruto</t>
  </si>
  <si>
    <t>Extra Bruto</t>
  </si>
  <si>
    <t>Año Bruto</t>
  </si>
  <si>
    <t>IRPF</t>
  </si>
  <si>
    <t>IRPF Mes</t>
  </si>
  <si>
    <t>Mes Neto</t>
  </si>
  <si>
    <t>IRPF Mes Extra</t>
  </si>
  <si>
    <t>Mes Neto Extra</t>
  </si>
  <si>
    <t>IRPF Año</t>
  </si>
  <si>
    <t>Anual neto</t>
  </si>
  <si>
    <t>Indemnización MUFACE jubilación</t>
  </si>
  <si>
    <t>Inspector</t>
  </si>
  <si>
    <t>Catedrático</t>
  </si>
  <si>
    <t>Maestros 1º y 2º ESO</t>
  </si>
  <si>
    <t>Hora Lectiva Complementaria, Refuerzo Educativo. Grupo A1</t>
  </si>
  <si>
    <t>Coordinador EOEP</t>
  </si>
  <si>
    <t>Tutoría</t>
  </si>
  <si>
    <t>Coordinación en convivencia</t>
  </si>
  <si>
    <t>Coordinación en tecnologías de la información y la comunicación (TIC)</t>
  </si>
  <si>
    <t>Elaborado por DOCENTES DE CANARIAS-INSUCAN (DCI)</t>
  </si>
  <si>
    <t>Ingreso Bruto</t>
  </si>
  <si>
    <t>Coordinación en prevención de riesgos laborales</t>
  </si>
  <si>
    <t>PILE. Impartición. Maestros lengua extranjera y Profesorado con B2</t>
  </si>
  <si>
    <t>PILE. Impartición. Profesorado con C1 o C2</t>
  </si>
  <si>
    <t>PILE. Coordinación. Nivel C1 o C2</t>
  </si>
  <si>
    <t>PILE. Coordinación. Nivel B2</t>
  </si>
  <si>
    <t>Elegir la opción que corresponda</t>
  </si>
  <si>
    <t>Sin discapacidad</t>
  </si>
  <si>
    <t>Edad menor de 65 años</t>
  </si>
  <si>
    <t>Edad igual o mayor a 75 años</t>
  </si>
  <si>
    <t>Edad entre 65 y 75 años</t>
  </si>
  <si>
    <t>Elegir del menú desplegable</t>
  </si>
  <si>
    <t>Otras deducciones</t>
  </si>
  <si>
    <t>Otros complementos: Tutoría, Jefe departamento, AICLE/PILE, Coordinación</t>
  </si>
  <si>
    <t>Otros complementos: Encargado comedor, Director Centro Profesores, RE, …..</t>
  </si>
  <si>
    <t>Otros complementos: Cargos directivos de IES, CEO, EA</t>
  </si>
  <si>
    <t>Otros complementos: Cargos directivos de CEIP, CEEE, EEI, CEPA, CER</t>
  </si>
  <si>
    <t xml:space="preserve">Destino en Isla No Capitalina  </t>
  </si>
  <si>
    <t>Complemento Específico</t>
  </si>
  <si>
    <t xml:space="preserve">Complemento Destino </t>
  </si>
  <si>
    <t>SUELDO MENSUAL LIQUIDO A PERCIBIR</t>
  </si>
  <si>
    <t>SUELDO BRUTO ANUAL. Año completo</t>
  </si>
  <si>
    <t>Elegir el cuerpo docente</t>
  </si>
  <si>
    <t>Andalucía</t>
  </si>
  <si>
    <t>Baleares (Islas)</t>
  </si>
  <si>
    <t>Castilla y León</t>
  </si>
  <si>
    <t>Castilla-la Mancha</t>
  </si>
  <si>
    <t>Cataluña</t>
  </si>
  <si>
    <t>Comunidad Valenciana</t>
  </si>
  <si>
    <t>Galicia</t>
  </si>
  <si>
    <t>Navarra (Comunidad Foral de)</t>
  </si>
  <si>
    <t>Rioja (la)</t>
  </si>
  <si>
    <t>Director/ra CEIP, CEP, CEEE, EEI, CEPA. Coordinador CER. Tipo A (Más de 35 Unidades)</t>
  </si>
  <si>
    <t>Director/ra CEIP, CEP, CEEE, EEI, CEPA. Coordinador CER. Tipo B (27 a 35 Unidades)</t>
  </si>
  <si>
    <t>Director/ra CEIP, CEP, CEEE, EEI, CEPA. Coordinador CER. Tipo C (18 a 26 Unidades)</t>
  </si>
  <si>
    <t>Director/ra CEIP, CEP, CEEE, EEI, CEPA. Coordinador CER. Tipo D (9 a 17 Unidades)</t>
  </si>
  <si>
    <t>Director/ra CEIP, CEP, CEEE, EEI, CEPA. Coordinador CER. Tipo E (6 a 8 Unidades)</t>
  </si>
  <si>
    <t>Director/ra CEIP, CEP, CEEE, EEI, CEPA. Coordinador CER. Tipo F (1 a 5 Unidades)</t>
  </si>
  <si>
    <t>Cuota Afiliación DOCENTES DE CANARIAS-INSUCAN (DCI)</t>
  </si>
  <si>
    <t>Otro complemento no incluido en relación anterior, introducirlo</t>
  </si>
  <si>
    <t xml:space="preserve">Maestro de Primero y Segundo de la ESO </t>
  </si>
  <si>
    <t>Grupo, Nivel, Puntos y Grado</t>
  </si>
  <si>
    <t>Meses trabajados en el curso</t>
  </si>
  <si>
    <t>Rendimiento Bruto de los meses trabajados en el curso</t>
  </si>
  <si>
    <t>Años de Servicio a efectos de trienios</t>
  </si>
  <si>
    <t>Años de Servicio a efectos de sexenios</t>
  </si>
  <si>
    <t>Jornada Completa</t>
  </si>
  <si>
    <t>Jornada Parcial</t>
  </si>
  <si>
    <t>Horas lectivas de la jornada parcial</t>
  </si>
  <si>
    <t>IMPORTE Nómina</t>
  </si>
  <si>
    <t>Mes</t>
  </si>
  <si>
    <t>Días trabajados</t>
  </si>
  <si>
    <t>Retención IRPF</t>
  </si>
  <si>
    <t>La jornada Completa en Infantil, Primaria y Centros Educación Especial es de 25 horas, en el resto es de 18 horas</t>
  </si>
  <si>
    <t>Nómina 2020 (Mensual y por Días. Jornada Completa y Parcial)</t>
  </si>
  <si>
    <t>Importes provisionales hasta la publicación del Gobierno de Canarias</t>
  </si>
  <si>
    <t xml:space="preserve">Importes provisionales hasta publicación oficial </t>
  </si>
  <si>
    <t>ATRASO</t>
  </si>
  <si>
    <t>110 Sueldo Base</t>
  </si>
  <si>
    <t xml:space="preserve"> 120 Trienios  ( Gr.A1-10 )</t>
  </si>
  <si>
    <t xml:space="preserve"> 140 Paga Extra Sueldo</t>
  </si>
  <si>
    <t xml:space="preserve"> 143 Paga Extra Trienios</t>
  </si>
  <si>
    <t xml:space="preserve"> 149 Paga Extra C. Destino</t>
  </si>
  <si>
    <t xml:space="preserve"> 150 P.Ad.Comp.Formac.Perman</t>
  </si>
  <si>
    <t>153 Paga Adic. C. Especifico</t>
  </si>
  <si>
    <t xml:space="preserve"> 160 Indemnización Residencia</t>
  </si>
  <si>
    <t xml:space="preserve"> 170 Complemento Específico</t>
  </si>
  <si>
    <t xml:space="preserve"> 171 Complemento Destino</t>
  </si>
  <si>
    <t xml:space="preserve"> 176 Comp. Formación Permanen.   ( Sexenios-5 ) </t>
  </si>
  <si>
    <t>310 Sueldo Base IT</t>
  </si>
  <si>
    <t xml:space="preserve"> 320 Trienios IT  </t>
  </si>
  <si>
    <t xml:space="preserve">360 Indemniz. Residencia IT  </t>
  </si>
  <si>
    <t xml:space="preserve">365 Compl. Formación Perm. IT  </t>
  </si>
  <si>
    <t xml:space="preserve">370 Complemento Específico IT </t>
  </si>
  <si>
    <t xml:space="preserve"> 371 Complemento Destino IT  </t>
  </si>
  <si>
    <t xml:space="preserve">372 Compl.Esp.Responsabili.IT </t>
  </si>
  <si>
    <t>Trienios (Gr.A1-10)</t>
  </si>
  <si>
    <t>Residencia en isla Capitalina</t>
  </si>
  <si>
    <t>5 Sexenios consolidados</t>
  </si>
  <si>
    <t>Paga extra junio, Sueldo Base</t>
  </si>
  <si>
    <t>Paga extra junio, Trienios</t>
  </si>
  <si>
    <t>Paga extra junio, CompLemento Destino</t>
  </si>
  <si>
    <t>Adicional, Complemento específico junio</t>
  </si>
  <si>
    <t>Paga extra Sexenios</t>
  </si>
  <si>
    <t>Fecha jubilación</t>
  </si>
  <si>
    <t>Días de computo para paga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</si>
</sst>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"/>
    <numFmt numFmtId="166" formatCode="#,##0.000"/>
    <numFmt numFmtId="167" formatCode="0.0"/>
  </numFmts>
  <fonts count="29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333333"/>
      <name val="Verdana"/>
      <family val="2"/>
    </font>
    <font>
      <sz val="10"/>
      <color rgb="FF000000"/>
      <name val="Calibri"/>
      <family val="2"/>
    </font>
    <font>
      <b/>
      <sz val="9"/>
      <name val="Verdana"/>
      <family val="2"/>
    </font>
    <font>
      <b/>
      <sz val="9"/>
      <color rgb="FF000000"/>
      <name val="Calibri"/>
      <family val="2"/>
    </font>
    <font>
      <sz val="8"/>
      <name val="Verdana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50">
    <xf numFmtId="0" fontId="0" fillId="0" borderId="0" xfId="0"/>
    <xf numFmtId="0" fontId="7" fillId="2" borderId="0" xfId="0" applyFont="1" applyFill="1" applyProtection="1">
      <protection hidden="1"/>
    </xf>
    <xf numFmtId="0" fontId="7" fillId="2" borderId="0" xfId="0" applyFont="1" applyFill="1" applyBorder="1" applyProtection="1">
      <protection hidden="1"/>
    </xf>
    <xf numFmtId="0" fontId="1" fillId="3" borderId="0" xfId="0" applyFont="1" applyFill="1" applyBorder="1" applyAlignment="1" applyProtection="1"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7" fillId="4" borderId="2" xfId="0" applyFont="1" applyFill="1" applyBorder="1" applyProtection="1">
      <protection hidden="1"/>
    </xf>
    <xf numFmtId="164" fontId="8" fillId="4" borderId="3" xfId="0" applyNumberFormat="1" applyFont="1" applyFill="1" applyBorder="1" applyAlignment="1" applyProtection="1">
      <alignment horizontal="center"/>
      <protection hidden="1"/>
    </xf>
    <xf numFmtId="0" fontId="9" fillId="5" borderId="14" xfId="0" applyFont="1" applyFill="1" applyBorder="1" applyAlignment="1" applyProtection="1">
      <alignment horizontal="left" wrapText="1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4" fontId="2" fillId="6" borderId="2" xfId="0" applyNumberFormat="1" applyFont="1" applyFill="1" applyBorder="1" applyAlignment="1" applyProtection="1">
      <alignment horizontal="right" wrapText="1" indent="1"/>
      <protection hidden="1"/>
    </xf>
    <xf numFmtId="164" fontId="8" fillId="6" borderId="3" xfId="0" applyNumberFormat="1" applyFont="1" applyFill="1" applyBorder="1" applyAlignment="1" applyProtection="1">
      <alignment horizontal="center"/>
      <protection hidden="1"/>
    </xf>
    <xf numFmtId="9" fontId="7" fillId="2" borderId="0" xfId="1" applyFont="1" applyFill="1" applyBorder="1" applyProtection="1"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/>
      <protection hidden="1"/>
    </xf>
    <xf numFmtId="0" fontId="10" fillId="8" borderId="1" xfId="0" applyFont="1" applyFill="1" applyBorder="1" applyAlignment="1" applyProtection="1">
      <protection hidden="1"/>
    </xf>
    <xf numFmtId="0" fontId="10" fillId="8" borderId="1" xfId="0" applyFont="1" applyFill="1" applyBorder="1" applyAlignment="1" applyProtection="1">
      <alignment horizontal="left"/>
      <protection hidden="1"/>
    </xf>
    <xf numFmtId="0" fontId="1" fillId="8" borderId="6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left" wrapTex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3" xfId="0" applyNumberFormat="1" applyFont="1" applyFill="1" applyBorder="1" applyAlignment="1" applyProtection="1">
      <alignment horizontal="right" vertical="center" wrapText="1" indent="1"/>
      <protection hidden="1"/>
    </xf>
    <xf numFmtId="164" fontId="1" fillId="8" borderId="4" xfId="0" applyNumberFormat="1" applyFont="1" applyFill="1" applyBorder="1" applyAlignment="1" applyProtection="1">
      <alignment horizontal="right" vertical="center" wrapText="1"/>
      <protection hidden="1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164" fontId="1" fillId="8" borderId="6" xfId="0" applyNumberFormat="1" applyFont="1" applyFill="1" applyBorder="1" applyAlignment="1" applyProtection="1">
      <alignment horizontal="right" vertical="center" wrapText="1" indent="1"/>
      <protection hidden="1"/>
    </xf>
    <xf numFmtId="4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3" fontId="1" fillId="7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13" borderId="3" xfId="0" applyFont="1" applyFill="1" applyBorder="1" applyAlignment="1" applyProtection="1">
      <alignment horizontal="left" wrapText="1"/>
      <protection hidden="1"/>
    </xf>
    <xf numFmtId="4" fontId="1" fillId="2" borderId="3" xfId="0" applyNumberFormat="1" applyFont="1" applyFill="1" applyBorder="1" applyAlignment="1" applyProtection="1">
      <alignment horizontal="right" wrapText="1" indent="1"/>
      <protection hidden="1"/>
    </xf>
    <xf numFmtId="164" fontId="7" fillId="2" borderId="0" xfId="1" applyNumberFormat="1" applyFont="1" applyFill="1" applyBorder="1" applyProtection="1">
      <protection hidden="1"/>
    </xf>
    <xf numFmtId="4" fontId="8" fillId="6" borderId="3" xfId="0" applyNumberFormat="1" applyFont="1" applyFill="1" applyBorder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1" fillId="13" borderId="1" xfId="0" applyFont="1" applyFill="1" applyBorder="1" applyAlignment="1" applyProtection="1">
      <alignment horizontal="left" wrapText="1"/>
      <protection hidden="1"/>
    </xf>
    <xf numFmtId="8" fontId="7" fillId="2" borderId="0" xfId="0" applyNumberFormat="1" applyFont="1" applyFill="1" applyProtection="1">
      <protection hidden="1"/>
    </xf>
    <xf numFmtId="4" fontId="1" fillId="2" borderId="3" xfId="0" applyNumberFormat="1" applyFont="1" applyFill="1" applyBorder="1" applyAlignment="1" applyProtection="1">
      <alignment horizont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165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4" fontId="1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" fillId="15" borderId="1" xfId="0" applyFont="1" applyFill="1" applyBorder="1" applyAlignment="1" applyProtection="1">
      <alignment horizontal="left" vertical="center"/>
      <protection hidden="1"/>
    </xf>
    <xf numFmtId="0" fontId="7" fillId="15" borderId="1" xfId="0" applyFont="1" applyFill="1" applyBorder="1" applyAlignment="1" applyProtection="1">
      <alignment horizontal="left" vertical="center"/>
      <protection hidden="1"/>
    </xf>
    <xf numFmtId="0" fontId="1" fillId="15" borderId="9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4" fontId="0" fillId="0" borderId="0" xfId="0" applyNumberFormat="1" applyProtection="1">
      <protection hidden="1"/>
    </xf>
    <xf numFmtId="0" fontId="0" fillId="2" borderId="0" xfId="0" applyFill="1" applyProtection="1">
      <protection hidden="1"/>
    </xf>
    <xf numFmtId="0" fontId="16" fillId="17" borderId="3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vertical="center" wrapText="1"/>
      <protection hidden="1"/>
    </xf>
    <xf numFmtId="0" fontId="0" fillId="0" borderId="2" xfId="0" applyBorder="1" applyProtection="1">
      <protection hidden="1"/>
    </xf>
    <xf numFmtId="4" fontId="0" fillId="18" borderId="3" xfId="0" applyNumberFormat="1" applyFill="1" applyBorder="1" applyProtection="1">
      <protection hidden="1"/>
    </xf>
    <xf numFmtId="0" fontId="16" fillId="0" borderId="3" xfId="0" applyFont="1" applyBorder="1" applyProtection="1">
      <protection hidden="1"/>
    </xf>
    <xf numFmtId="3" fontId="16" fillId="9" borderId="3" xfId="0" applyNumberFormat="1" applyFont="1" applyFill="1" applyBorder="1" applyAlignment="1" applyProtection="1">
      <alignment horizontal="center"/>
      <protection locked="0"/>
    </xf>
    <xf numFmtId="3" fontId="0" fillId="9" borderId="3" xfId="0" applyNumberFormat="1" applyFill="1" applyBorder="1" applyAlignment="1" applyProtection="1">
      <alignment horizontal="center"/>
      <protection locked="0"/>
    </xf>
    <xf numFmtId="0" fontId="16" fillId="0" borderId="3" xfId="0" applyFont="1" applyBorder="1" applyAlignment="1" applyProtection="1">
      <alignment vertical="center" wrapText="1"/>
      <protection hidden="1"/>
    </xf>
    <xf numFmtId="4" fontId="0" fillId="2" borderId="0" xfId="0" applyNumberFormat="1" applyFill="1" applyProtection="1">
      <protection hidden="1"/>
    </xf>
    <xf numFmtId="0" fontId="0" fillId="0" borderId="3" xfId="0" applyBorder="1" applyProtection="1">
      <protection hidden="1"/>
    </xf>
    <xf numFmtId="0" fontId="16" fillId="0" borderId="1" xfId="0" applyFont="1" applyBorder="1" applyProtection="1">
      <protection hidden="1"/>
    </xf>
    <xf numFmtId="4" fontId="0" fillId="0" borderId="3" xfId="0" applyNumberFormat="1" applyBorder="1" applyProtection="1">
      <protection hidden="1"/>
    </xf>
    <xf numFmtId="4" fontId="0" fillId="2" borderId="3" xfId="0" applyNumberFormat="1" applyFill="1" applyBorder="1" applyProtection="1"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10" fontId="19" fillId="2" borderId="3" xfId="1" applyNumberFormat="1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Protection="1">
      <protection hidden="1"/>
    </xf>
    <xf numFmtId="0" fontId="9" fillId="5" borderId="15" xfId="0" applyFont="1" applyFill="1" applyBorder="1" applyAlignment="1" applyProtection="1">
      <alignment horizontal="left" vertical="center" wrapText="1"/>
      <protection hidden="1"/>
    </xf>
    <xf numFmtId="0" fontId="2" fillId="15" borderId="1" xfId="0" applyFont="1" applyFill="1" applyBorder="1" applyAlignment="1" applyProtection="1">
      <alignment horizontal="left" vertical="center"/>
      <protection hidden="1"/>
    </xf>
    <xf numFmtId="9" fontId="8" fillId="12" borderId="3" xfId="1" applyFont="1" applyFill="1" applyBorder="1" applyAlignment="1" applyProtection="1">
      <alignment horizontal="center"/>
      <protection hidden="1"/>
    </xf>
    <xf numFmtId="0" fontId="7" fillId="13" borderId="3" xfId="0" applyFont="1" applyFill="1" applyBorder="1" applyProtection="1">
      <protection hidden="1"/>
    </xf>
    <xf numFmtId="166" fontId="1" fillId="2" borderId="3" xfId="0" applyNumberFormat="1" applyFont="1" applyFill="1" applyBorder="1" applyAlignment="1" applyProtection="1">
      <alignment horizontal="center" wrapText="1"/>
      <protection hidden="1"/>
    </xf>
    <xf numFmtId="164" fontId="1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2" borderId="3" xfId="0" applyNumberFormat="1" applyFont="1" applyFill="1" applyBorder="1" applyProtection="1">
      <protection hidden="1"/>
    </xf>
    <xf numFmtId="4" fontId="0" fillId="18" borderId="4" xfId="0" applyNumberFormat="1" applyFill="1" applyBorder="1" applyAlignment="1" applyProtection="1">
      <alignment vertical="center"/>
      <protection hidden="1"/>
    </xf>
    <xf numFmtId="0" fontId="5" fillId="22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3" fillId="23" borderId="3" xfId="0" applyFont="1" applyFill="1" applyBorder="1" applyAlignment="1" applyProtection="1">
      <alignment horizontal="center" vertical="center" wrapText="1"/>
      <protection hidden="1"/>
    </xf>
    <xf numFmtId="0" fontId="23" fillId="24" borderId="3" xfId="0" applyFont="1" applyFill="1" applyBorder="1" applyAlignment="1" applyProtection="1">
      <alignment horizontal="center" vertical="center" wrapText="1"/>
      <protection hidden="1"/>
    </xf>
    <xf numFmtId="0" fontId="23" fillId="25" borderId="3" xfId="0" applyFont="1" applyFill="1" applyBorder="1" applyAlignment="1" applyProtection="1">
      <alignment horizontal="center" vertical="center" wrapText="1"/>
      <protection hidden="1"/>
    </xf>
    <xf numFmtId="0" fontId="23" fillId="26" borderId="3" xfId="0" applyFont="1" applyFill="1" applyBorder="1" applyAlignment="1" applyProtection="1">
      <alignment horizontal="center" vertical="center" wrapText="1"/>
      <protection hidden="1"/>
    </xf>
    <xf numFmtId="0" fontId="23" fillId="11" borderId="3" xfId="0" applyFont="1" applyFill="1" applyBorder="1" applyAlignment="1" applyProtection="1">
      <alignment horizontal="center" vertical="center" wrapText="1"/>
      <protection hidden="1"/>
    </xf>
    <xf numFmtId="0" fontId="24" fillId="10" borderId="3" xfId="0" applyFont="1" applyFill="1" applyBorder="1" applyAlignment="1" applyProtection="1">
      <alignment horizontal="center" vertical="center" wrapText="1"/>
      <protection hidden="1"/>
    </xf>
    <xf numFmtId="0" fontId="23" fillId="27" borderId="2" xfId="0" applyFont="1" applyFill="1" applyBorder="1" applyAlignment="1" applyProtection="1">
      <alignment horizontal="center" vertical="center" wrapText="1"/>
      <protection hidden="1"/>
    </xf>
    <xf numFmtId="0" fontId="23" fillId="28" borderId="3" xfId="0" applyFont="1" applyFill="1" applyBorder="1" applyAlignment="1" applyProtection="1">
      <alignment horizontal="center" vertical="center" wrapText="1"/>
      <protection hidden="1"/>
    </xf>
    <xf numFmtId="0" fontId="23" fillId="29" borderId="3" xfId="0" applyFont="1" applyFill="1" applyBorder="1" applyAlignment="1" applyProtection="1">
      <alignment horizontal="center" vertical="center" wrapText="1"/>
      <protection hidden="1"/>
    </xf>
    <xf numFmtId="0" fontId="25" fillId="30" borderId="3" xfId="0" applyFont="1" applyFill="1" applyBorder="1" applyAlignment="1" applyProtection="1">
      <alignment horizontal="center" vertical="center"/>
      <protection hidden="1"/>
    </xf>
    <xf numFmtId="0" fontId="25" fillId="30" borderId="3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5" fillId="22" borderId="3" xfId="0" applyFont="1" applyFill="1" applyBorder="1" applyAlignment="1" applyProtection="1">
      <alignment horizontal="center" vertical="center"/>
      <protection hidden="1"/>
    </xf>
    <xf numFmtId="0" fontId="5" fillId="9" borderId="3" xfId="0" applyFont="1" applyFill="1" applyBorder="1" applyAlignment="1" applyProtection="1">
      <alignment horizontal="center" vertical="center" wrapText="1"/>
      <protection hidden="1"/>
    </xf>
    <xf numFmtId="0" fontId="21" fillId="31" borderId="3" xfId="0" applyFont="1" applyFill="1" applyBorder="1" applyAlignment="1" applyProtection="1">
      <alignment horizontal="center" vertical="top" wrapText="1"/>
      <protection hidden="1"/>
    </xf>
    <xf numFmtId="0" fontId="21" fillId="31" borderId="3" xfId="0" applyFont="1" applyFill="1" applyBorder="1" applyProtection="1">
      <protection hidden="1"/>
    </xf>
    <xf numFmtId="4" fontId="21" fillId="2" borderId="3" xfId="0" applyNumberFormat="1" applyFont="1" applyFill="1" applyBorder="1" applyAlignment="1" applyProtection="1">
      <alignment horizontal="center" vertical="top"/>
      <protection hidden="1"/>
    </xf>
    <xf numFmtId="4" fontId="21" fillId="2" borderId="3" xfId="0" applyNumberFormat="1" applyFont="1" applyFill="1" applyBorder="1" applyAlignment="1" applyProtection="1">
      <alignment horizontal="center" vertical="top" wrapText="1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5" fillId="22" borderId="3" xfId="0" applyFont="1" applyFill="1" applyBorder="1" applyProtection="1">
      <protection hidden="1"/>
    </xf>
    <xf numFmtId="4" fontId="5" fillId="22" borderId="3" xfId="0" applyNumberFormat="1" applyFont="1" applyFill="1" applyBorder="1" applyAlignment="1" applyProtection="1">
      <alignment horizontal="center"/>
      <protection hidden="1"/>
    </xf>
    <xf numFmtId="4" fontId="5" fillId="22" borderId="2" xfId="0" applyNumberFormat="1" applyFont="1" applyFill="1" applyBorder="1" applyAlignment="1" applyProtection="1">
      <alignment horizontal="center"/>
      <protection hidden="1"/>
    </xf>
    <xf numFmtId="10" fontId="5" fillId="0" borderId="3" xfId="0" applyNumberFormat="1" applyFont="1" applyBorder="1" applyProtection="1">
      <protection hidden="1"/>
    </xf>
    <xf numFmtId="4" fontId="5" fillId="0" borderId="3" xfId="0" applyNumberFormat="1" applyFont="1" applyBorder="1" applyProtection="1">
      <protection hidden="1"/>
    </xf>
    <xf numFmtId="4" fontId="24" fillId="2" borderId="3" xfId="0" applyNumberFormat="1" applyFont="1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horizontal="center"/>
      <protection hidden="1"/>
    </xf>
    <xf numFmtId="4" fontId="5" fillId="22" borderId="0" xfId="0" applyNumberFormat="1" applyFont="1" applyFill="1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5" fillId="22" borderId="0" xfId="0" applyNumberFormat="1" applyFont="1" applyFill="1" applyBorder="1" applyProtection="1">
      <protection hidden="1"/>
    </xf>
    <xf numFmtId="8" fontId="0" fillId="6" borderId="4" xfId="0" applyNumberFormat="1" applyFill="1" applyBorder="1" applyAlignment="1" applyProtection="1">
      <alignment horizontal="right"/>
      <protection hidden="1"/>
    </xf>
    <xf numFmtId="4" fontId="21" fillId="9" borderId="3" xfId="0" applyNumberFormat="1" applyFont="1" applyFill="1" applyBorder="1" applyAlignment="1" applyProtection="1">
      <alignment horizontal="center" vertical="top"/>
      <protection hidden="1"/>
    </xf>
    <xf numFmtId="4" fontId="24" fillId="9" borderId="3" xfId="0" applyNumberFormat="1" applyFont="1" applyFill="1" applyBorder="1" applyAlignment="1" applyProtection="1">
      <alignment horizontal="center" vertical="top" wrapText="1"/>
      <protection hidden="1"/>
    </xf>
    <xf numFmtId="2" fontId="21" fillId="9" borderId="3" xfId="0" applyNumberFormat="1" applyFont="1" applyFill="1" applyBorder="1" applyAlignment="1" applyProtection="1">
      <alignment horizontal="center" vertical="top"/>
      <protection hidden="1"/>
    </xf>
    <xf numFmtId="8" fontId="0" fillId="9" borderId="4" xfId="0" applyNumberFormat="1" applyFill="1" applyBorder="1" applyAlignment="1" applyProtection="1">
      <alignment horizontal="right"/>
      <protection hidden="1"/>
    </xf>
    <xf numFmtId="8" fontId="16" fillId="9" borderId="4" xfId="0" applyNumberFormat="1" applyFont="1" applyFill="1" applyBorder="1" applyAlignment="1" applyProtection="1">
      <alignment horizontal="right"/>
      <protection hidden="1"/>
    </xf>
    <xf numFmtId="4" fontId="1" fillId="2" borderId="2" xfId="0" applyNumberFormat="1" applyFont="1" applyFill="1" applyBorder="1" applyAlignment="1" applyProtection="1">
      <alignment horizontal="right" wrapText="1" indent="1"/>
      <protection hidden="1"/>
    </xf>
    <xf numFmtId="8" fontId="0" fillId="14" borderId="4" xfId="0" applyNumberFormat="1" applyFill="1" applyBorder="1" applyAlignment="1" applyProtection="1">
      <alignment horizontal="right"/>
      <protection hidden="1"/>
    </xf>
    <xf numFmtId="4" fontId="21" fillId="32" borderId="3" xfId="0" applyNumberFormat="1" applyFont="1" applyFill="1" applyBorder="1" applyAlignment="1" applyProtection="1">
      <alignment horizontal="center" vertical="top"/>
      <protection hidden="1"/>
    </xf>
    <xf numFmtId="4" fontId="24" fillId="32" borderId="3" xfId="0" applyNumberFormat="1" applyFont="1" applyFill="1" applyBorder="1" applyAlignment="1" applyProtection="1">
      <alignment horizontal="center" vertical="top" wrapText="1"/>
      <protection hidden="1"/>
    </xf>
    <xf numFmtId="4" fontId="21" fillId="9" borderId="3" xfId="0" applyNumberFormat="1" applyFont="1" applyFill="1" applyBorder="1" applyAlignment="1" applyProtection="1">
      <alignment horizontal="center"/>
      <protection hidden="1"/>
    </xf>
    <xf numFmtId="4" fontId="21" fillId="9" borderId="1" xfId="0" applyNumberFormat="1" applyFont="1" applyFill="1" applyBorder="1" applyAlignment="1" applyProtection="1">
      <alignment horizontal="center"/>
      <protection hidden="1"/>
    </xf>
    <xf numFmtId="0" fontId="23" fillId="23" borderId="3" xfId="0" applyFont="1" applyFill="1" applyBorder="1" applyAlignment="1" applyProtection="1">
      <alignment horizontal="left" vertical="center" wrapText="1"/>
      <protection hidden="1"/>
    </xf>
    <xf numFmtId="0" fontId="23" fillId="24" borderId="3" xfId="0" applyFont="1" applyFill="1" applyBorder="1" applyAlignment="1" applyProtection="1">
      <alignment horizontal="left" vertical="center" wrapText="1"/>
      <protection hidden="1"/>
    </xf>
    <xf numFmtId="0" fontId="23" fillId="25" borderId="3" xfId="0" applyFont="1" applyFill="1" applyBorder="1" applyAlignment="1" applyProtection="1">
      <alignment horizontal="left" vertical="center" wrapText="1"/>
      <protection hidden="1"/>
    </xf>
    <xf numFmtId="0" fontId="23" fillId="26" borderId="3" xfId="0" applyFont="1" applyFill="1" applyBorder="1" applyAlignment="1" applyProtection="1">
      <alignment horizontal="left" vertical="center" wrapText="1"/>
      <protection hidden="1"/>
    </xf>
    <xf numFmtId="0" fontId="23" fillId="11" borderId="3" xfId="0" applyFont="1" applyFill="1" applyBorder="1" applyAlignment="1" applyProtection="1">
      <alignment horizontal="left" vertical="center" wrapText="1"/>
      <protection hidden="1"/>
    </xf>
    <xf numFmtId="0" fontId="24" fillId="10" borderId="3" xfId="0" applyFont="1" applyFill="1" applyBorder="1" applyAlignment="1" applyProtection="1">
      <alignment horizontal="left" vertical="center" wrapText="1"/>
      <protection hidden="1"/>
    </xf>
    <xf numFmtId="0" fontId="23" fillId="28" borderId="3" xfId="0" applyFont="1" applyFill="1" applyBorder="1" applyAlignment="1" applyProtection="1">
      <alignment horizontal="left" vertical="center" wrapText="1"/>
      <protection hidden="1"/>
    </xf>
    <xf numFmtId="0" fontId="23" fillId="29" borderId="3" xfId="0" applyFont="1" applyFill="1" applyBorder="1" applyAlignment="1" applyProtection="1">
      <alignment horizontal="left" vertical="center" wrapText="1"/>
      <protection hidden="1"/>
    </xf>
    <xf numFmtId="0" fontId="25" fillId="30" borderId="3" xfId="0" applyFont="1" applyFill="1" applyBorder="1" applyAlignment="1" applyProtection="1">
      <alignment horizontal="left" vertical="center"/>
      <protection hidden="1"/>
    </xf>
    <xf numFmtId="0" fontId="25" fillId="30" borderId="3" xfId="0" applyFont="1" applyFill="1" applyBorder="1" applyAlignment="1" applyProtection="1">
      <alignment horizontal="left" vertical="center" wrapText="1"/>
      <protection hidden="1"/>
    </xf>
    <xf numFmtId="0" fontId="21" fillId="31" borderId="3" xfId="0" applyFont="1" applyFill="1" applyBorder="1" applyAlignment="1" applyProtection="1">
      <alignment horizontal="center" vertical="center" wrapText="1"/>
      <protection hidden="1"/>
    </xf>
    <xf numFmtId="0" fontId="5" fillId="22" borderId="3" xfId="0" applyFont="1" applyFill="1" applyBorder="1" applyAlignment="1" applyProtection="1">
      <alignment horizontal="center"/>
      <protection hidden="1"/>
    </xf>
    <xf numFmtId="0" fontId="23" fillId="27" borderId="3" xfId="0" applyFont="1" applyFill="1" applyBorder="1" applyAlignment="1" applyProtection="1">
      <alignment horizontal="left" vertical="center" wrapText="1"/>
      <protection hidden="1"/>
    </xf>
    <xf numFmtId="0" fontId="5" fillId="22" borderId="0" xfId="0" applyFont="1" applyFill="1" applyBorder="1" applyAlignment="1" applyProtection="1">
      <alignment horizontal="center" vertical="center"/>
      <protection hidden="1"/>
    </xf>
    <xf numFmtId="9" fontId="5" fillId="22" borderId="3" xfId="0" applyNumberFormat="1" applyFont="1" applyFill="1" applyBorder="1" applyAlignment="1" applyProtection="1">
      <alignment horizontal="center"/>
      <protection hidden="1"/>
    </xf>
    <xf numFmtId="4" fontId="0" fillId="9" borderId="3" xfId="0" applyNumberFormat="1" applyFill="1" applyBorder="1" applyProtection="1">
      <protection hidden="1"/>
    </xf>
    <xf numFmtId="4" fontId="0" fillId="9" borderId="3" xfId="0" applyNumberFormat="1" applyFill="1" applyBorder="1" applyProtection="1">
      <protection locked="0"/>
    </xf>
    <xf numFmtId="0" fontId="10" fillId="21" borderId="1" xfId="0" applyFont="1" applyFill="1" applyBorder="1" applyAlignment="1" applyProtection="1">
      <protection hidden="1"/>
    </xf>
    <xf numFmtId="0" fontId="10" fillId="21" borderId="1" xfId="0" applyFont="1" applyFill="1" applyBorder="1" applyAlignment="1" applyProtection="1">
      <alignment horizontal="left"/>
      <protection hidden="1"/>
    </xf>
    <xf numFmtId="0" fontId="10" fillId="20" borderId="1" xfId="0" applyFont="1" applyFill="1" applyBorder="1" applyAlignment="1" applyProtection="1">
      <protection hidden="1"/>
    </xf>
    <xf numFmtId="0" fontId="10" fillId="20" borderId="1" xfId="0" applyFont="1" applyFill="1" applyBorder="1" applyAlignment="1" applyProtection="1">
      <alignment horizontal="left"/>
      <protection hidden="1"/>
    </xf>
    <xf numFmtId="0" fontId="26" fillId="0" borderId="0" xfId="0" applyFont="1" applyAlignment="1" applyProtection="1">
      <alignment horizontal="center"/>
      <protection hidden="1"/>
    </xf>
    <xf numFmtId="0" fontId="13" fillId="2" borderId="0" xfId="0" applyFont="1" applyFill="1" applyBorder="1" applyProtection="1">
      <protection hidden="1"/>
    </xf>
    <xf numFmtId="0" fontId="26" fillId="0" borderId="0" xfId="0" applyFont="1" applyProtection="1">
      <protection hidden="1"/>
    </xf>
    <xf numFmtId="0" fontId="28" fillId="33" borderId="0" xfId="0" applyFont="1" applyFill="1" applyAlignment="1" applyProtection="1">
      <alignment horizontal="center"/>
      <protection hidden="1"/>
    </xf>
    <xf numFmtId="3" fontId="16" fillId="9" borderId="3" xfId="0" applyNumberFormat="1" applyFont="1" applyFill="1" applyBorder="1" applyAlignment="1" applyProtection="1">
      <alignment horizontal="center"/>
      <protection hidden="1"/>
    </xf>
    <xf numFmtId="3" fontId="0" fillId="9" borderId="3" xfId="0" applyNumberFormat="1" applyFill="1" applyBorder="1" applyAlignment="1" applyProtection="1">
      <alignment horizontal="center"/>
      <protection hidden="1"/>
    </xf>
    <xf numFmtId="0" fontId="7" fillId="14" borderId="5" xfId="0" applyFont="1" applyFill="1" applyBorder="1" applyProtection="1">
      <protection hidden="1"/>
    </xf>
    <xf numFmtId="0" fontId="7" fillId="14" borderId="2" xfId="0" applyFont="1" applyFill="1" applyBorder="1" applyProtection="1">
      <protection hidden="1"/>
    </xf>
    <xf numFmtId="0" fontId="27" fillId="0" borderId="3" xfId="0" applyFont="1" applyBorder="1" applyAlignment="1" applyProtection="1">
      <alignment horizontal="center"/>
      <protection hidden="1"/>
    </xf>
    <xf numFmtId="8" fontId="0" fillId="32" borderId="4" xfId="0" applyNumberFormat="1" applyFill="1" applyBorder="1" applyAlignment="1" applyProtection="1">
      <alignment horizontal="right"/>
      <protection hidden="1"/>
    </xf>
    <xf numFmtId="0" fontId="8" fillId="14" borderId="5" xfId="0" applyFont="1" applyFill="1" applyBorder="1" applyAlignment="1" applyProtection="1">
      <alignment wrapText="1"/>
      <protection hidden="1"/>
    </xf>
    <xf numFmtId="0" fontId="8" fillId="14" borderId="2" xfId="0" applyFont="1" applyFill="1" applyBorder="1" applyAlignment="1" applyProtection="1">
      <alignment wrapText="1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7" fillId="2" borderId="5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1" fillId="9" borderId="3" xfId="0" applyFont="1" applyFill="1" applyBorder="1" applyAlignment="1" applyProtection="1">
      <alignment horizontal="center" vertical="center" wrapText="1"/>
      <protection hidden="1"/>
    </xf>
    <xf numFmtId="0" fontId="7" fillId="34" borderId="1" xfId="0" applyFont="1" applyFill="1" applyBorder="1" applyAlignment="1" applyProtection="1">
      <alignment vertical="center"/>
      <protection hidden="1"/>
    </xf>
    <xf numFmtId="0" fontId="7" fillId="34" borderId="5" xfId="0" applyFont="1" applyFill="1" applyBorder="1" applyAlignment="1" applyProtection="1">
      <alignment vertical="center"/>
      <protection hidden="1"/>
    </xf>
    <xf numFmtId="0" fontId="7" fillId="34" borderId="2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Alignment="1" applyProtection="1">
      <alignment vertical="center"/>
      <protection hidden="1"/>
    </xf>
    <xf numFmtId="10" fontId="8" fillId="18" borderId="3" xfId="1" applyNumberFormat="1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Protection="1">
      <protection hidden="1"/>
    </xf>
    <xf numFmtId="0" fontId="7" fillId="18" borderId="1" xfId="0" applyFont="1" applyFill="1" applyBorder="1" applyAlignment="1" applyProtection="1">
      <alignment vertical="center"/>
      <protection hidden="1"/>
    </xf>
    <xf numFmtId="0" fontId="7" fillId="18" borderId="2" xfId="0" applyFont="1" applyFill="1" applyBorder="1" applyProtection="1">
      <protection hidden="1"/>
    </xf>
    <xf numFmtId="10" fontId="7" fillId="9" borderId="3" xfId="0" applyNumberFormat="1" applyFont="1" applyFill="1" applyBorder="1" applyProtection="1">
      <protection hidden="1"/>
    </xf>
    <xf numFmtId="164" fontId="7" fillId="9" borderId="3" xfId="0" applyNumberFormat="1" applyFont="1" applyFill="1" applyBorder="1" applyAlignment="1" applyProtection="1">
      <alignment horizontal="center"/>
      <protection hidden="1"/>
    </xf>
    <xf numFmtId="0" fontId="7" fillId="9" borderId="1" xfId="0" applyFont="1" applyFill="1" applyBorder="1" applyProtection="1">
      <protection hidden="1"/>
    </xf>
    <xf numFmtId="0" fontId="7" fillId="9" borderId="2" xfId="0" applyFont="1" applyFill="1" applyBorder="1" applyProtection="1">
      <protection hidden="1"/>
    </xf>
    <xf numFmtId="0" fontId="2" fillId="13" borderId="1" xfId="0" applyFont="1" applyFill="1" applyBorder="1" applyAlignment="1" applyProtection="1">
      <alignment horizontal="center" wrapText="1"/>
      <protection hidden="1"/>
    </xf>
    <xf numFmtId="0" fontId="2" fillId="35" borderId="3" xfId="0" applyFont="1" applyFill="1" applyBorder="1" applyAlignment="1" applyProtection="1">
      <alignment horizontal="center" vertical="center" wrapText="1"/>
      <protection hidden="1"/>
    </xf>
    <xf numFmtId="166" fontId="1" fillId="2" borderId="11" xfId="0" applyNumberFormat="1" applyFont="1" applyFill="1" applyBorder="1" applyAlignment="1" applyProtection="1">
      <alignment horizontal="center" wrapText="1"/>
      <protection hidden="1"/>
    </xf>
    <xf numFmtId="10" fontId="1" fillId="36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36" borderId="15" xfId="0" applyFont="1" applyFill="1" applyBorder="1" applyAlignment="1" applyProtection="1">
      <alignment horizontal="center" wrapText="1"/>
      <protection hidden="1"/>
    </xf>
    <xf numFmtId="0" fontId="7" fillId="34" borderId="5" xfId="0" applyFont="1" applyFill="1" applyBorder="1" applyProtection="1">
      <protection hidden="1"/>
    </xf>
    <xf numFmtId="0" fontId="7" fillId="34" borderId="2" xfId="0" applyFont="1" applyFill="1" applyBorder="1" applyProtection="1">
      <protection hidden="1"/>
    </xf>
    <xf numFmtId="0" fontId="7" fillId="9" borderId="1" xfId="0" applyFont="1" applyFill="1" applyBorder="1" applyAlignment="1" applyProtection="1">
      <alignment vertical="center"/>
      <protection hidden="1"/>
    </xf>
    <xf numFmtId="0" fontId="7" fillId="9" borderId="5" xfId="0" applyFont="1" applyFill="1" applyBorder="1" applyAlignment="1" applyProtection="1">
      <alignment vertical="center"/>
      <protection hidden="1"/>
    </xf>
    <xf numFmtId="0" fontId="7" fillId="9" borderId="2" xfId="0" applyFont="1" applyFill="1" applyBorder="1" applyAlignment="1" applyProtection="1">
      <alignment vertical="center"/>
      <protection hidden="1"/>
    </xf>
    <xf numFmtId="4" fontId="21" fillId="10" borderId="3" xfId="0" applyNumberFormat="1" applyFont="1" applyFill="1" applyBorder="1" applyAlignment="1" applyProtection="1">
      <alignment horizontal="center" vertical="top"/>
      <protection hidden="1"/>
    </xf>
    <xf numFmtId="4" fontId="21" fillId="10" borderId="1" xfId="0" applyNumberFormat="1" applyFont="1" applyFill="1" applyBorder="1" applyAlignment="1" applyProtection="1">
      <alignment horizontal="center"/>
      <protection hidden="1"/>
    </xf>
    <xf numFmtId="4" fontId="21" fillId="10" borderId="3" xfId="0" applyNumberFormat="1" applyFont="1" applyFill="1" applyBorder="1" applyAlignment="1" applyProtection="1">
      <alignment horizontal="center"/>
      <protection hidden="1"/>
    </xf>
    <xf numFmtId="8" fontId="0" fillId="10" borderId="4" xfId="0" applyNumberFormat="1" applyFill="1" applyBorder="1" applyAlignment="1" applyProtection="1">
      <alignment horizontal="right"/>
      <protection hidden="1"/>
    </xf>
    <xf numFmtId="0" fontId="5" fillId="22" borderId="0" xfId="0" applyFont="1" applyFill="1" applyProtection="1">
      <protection hidden="1"/>
    </xf>
    <xf numFmtId="0" fontId="5" fillId="22" borderId="0" xfId="0" applyFont="1" applyFill="1" applyAlignment="1" applyProtection="1">
      <alignment horizontal="center" vertical="center"/>
      <protection hidden="1"/>
    </xf>
    <xf numFmtId="4" fontId="5" fillId="22" borderId="0" xfId="0" applyNumberFormat="1" applyFont="1" applyFill="1" applyProtection="1">
      <protection hidden="1"/>
    </xf>
    <xf numFmtId="0" fontId="10" fillId="21" borderId="1" xfId="0" applyFont="1" applyFill="1" applyBorder="1" applyProtection="1">
      <protection hidden="1"/>
    </xf>
    <xf numFmtId="8" fontId="0" fillId="34" borderId="4" xfId="0" applyNumberFormat="1" applyFill="1" applyBorder="1" applyAlignment="1" applyProtection="1">
      <alignment horizontal="right"/>
      <protection hidden="1"/>
    </xf>
    <xf numFmtId="4" fontId="21" fillId="34" borderId="3" xfId="0" applyNumberFormat="1" applyFont="1" applyFill="1" applyBorder="1" applyAlignment="1" applyProtection="1">
      <alignment horizontal="center" vertical="top"/>
      <protection hidden="1"/>
    </xf>
    <xf numFmtId="0" fontId="10" fillId="20" borderId="1" xfId="0" applyFont="1" applyFill="1" applyBorder="1" applyProtection="1">
      <protection hidden="1"/>
    </xf>
    <xf numFmtId="4" fontId="21" fillId="34" borderId="3" xfId="0" applyNumberFormat="1" applyFont="1" applyFill="1" applyBorder="1" applyAlignment="1" applyProtection="1">
      <alignment horizontal="center"/>
      <protection hidden="1"/>
    </xf>
    <xf numFmtId="4" fontId="21" fillId="34" borderId="1" xfId="0" applyNumberFormat="1" applyFont="1" applyFill="1" applyBorder="1" applyAlignment="1" applyProtection="1">
      <alignment horizontal="center"/>
      <protection hidden="1"/>
    </xf>
    <xf numFmtId="0" fontId="10" fillId="8" borderId="1" xfId="0" applyFont="1" applyFill="1" applyBorder="1" applyProtection="1">
      <protection hidden="1"/>
    </xf>
    <xf numFmtId="0" fontId="0" fillId="9" borderId="0" xfId="0" applyFill="1"/>
    <xf numFmtId="0" fontId="7" fillId="9" borderId="9" xfId="0" applyFont="1" applyFill="1" applyBorder="1" applyAlignment="1" applyProtection="1">
      <alignment horizontal="center" vertical="center"/>
      <protection hidden="1"/>
    </xf>
    <xf numFmtId="0" fontId="7" fillId="9" borderId="0" xfId="0" applyFont="1" applyFill="1" applyBorder="1" applyAlignment="1" applyProtection="1">
      <alignment horizontal="center" vertical="center"/>
      <protection hidden="1"/>
    </xf>
    <xf numFmtId="0" fontId="8" fillId="16" borderId="6" xfId="0" applyFont="1" applyFill="1" applyBorder="1" applyAlignment="1" applyProtection="1">
      <alignment horizontal="center" vertical="center" wrapText="1"/>
      <protection hidden="1"/>
    </xf>
    <xf numFmtId="0" fontId="8" fillId="16" borderId="17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wrapText="1"/>
      <protection hidden="1"/>
    </xf>
    <xf numFmtId="0" fontId="1" fillId="4" borderId="2" xfId="0" applyFont="1" applyFill="1" applyBorder="1" applyAlignment="1" applyProtection="1">
      <alignment horizontal="center" wrapText="1"/>
      <protection hidden="1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14" fillId="19" borderId="7" xfId="0" applyFont="1" applyFill="1" applyBorder="1" applyAlignment="1" applyProtection="1">
      <alignment horizontal="center" vertical="center"/>
      <protection hidden="1"/>
    </xf>
    <xf numFmtId="0" fontId="14" fillId="19" borderId="10" xfId="0" applyFont="1" applyFill="1" applyBorder="1" applyAlignment="1" applyProtection="1">
      <alignment horizontal="center" vertical="center"/>
      <protection hidden="1"/>
    </xf>
    <xf numFmtId="0" fontId="14" fillId="19" borderId="8" xfId="0" applyFont="1" applyFill="1" applyBorder="1" applyAlignment="1" applyProtection="1">
      <alignment horizontal="center" vertical="center"/>
      <protection hidden="1"/>
    </xf>
    <xf numFmtId="0" fontId="15" fillId="19" borderId="11" xfId="0" applyFont="1" applyFill="1" applyBorder="1" applyAlignment="1" applyProtection="1">
      <alignment horizontal="center" vertical="center"/>
      <protection hidden="1"/>
    </xf>
    <xf numFmtId="0" fontId="15" fillId="19" borderId="12" xfId="0" applyFont="1" applyFill="1" applyBorder="1" applyAlignment="1" applyProtection="1">
      <alignment horizontal="center" vertical="center"/>
      <protection hidden="1"/>
    </xf>
    <xf numFmtId="0" fontId="15" fillId="19" borderId="13" xfId="0" applyFont="1" applyFill="1" applyBorder="1" applyAlignment="1" applyProtection="1">
      <alignment horizontal="center" vertical="center"/>
      <protection hidden="1"/>
    </xf>
    <xf numFmtId="0" fontId="12" fillId="9" borderId="9" xfId="0" applyFont="1" applyFill="1" applyBorder="1" applyAlignment="1" applyProtection="1">
      <alignment horizontal="center" vertical="center"/>
      <protection hidden="1"/>
    </xf>
    <xf numFmtId="0" fontId="12" fillId="9" borderId="0" xfId="0" applyFont="1" applyFill="1" applyBorder="1" applyAlignment="1" applyProtection="1">
      <alignment horizontal="center" vertical="center"/>
      <protection hidden="1"/>
    </xf>
    <xf numFmtId="0" fontId="12" fillId="9" borderId="16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67" fontId="2" fillId="34" borderId="1" xfId="0" applyNumberFormat="1" applyFont="1" applyFill="1" applyBorder="1" applyAlignment="1" applyProtection="1">
      <alignment horizontal="center" vertical="center"/>
      <protection locked="0"/>
    </xf>
    <xf numFmtId="167" fontId="2" fillId="34" borderId="2" xfId="0" applyNumberFormat="1" applyFont="1" applyFill="1" applyBorder="1" applyAlignment="1" applyProtection="1">
      <alignment horizontal="center" vertical="center"/>
      <protection locked="0"/>
    </xf>
    <xf numFmtId="1" fontId="2" fillId="9" borderId="1" xfId="0" applyNumberFormat="1" applyFont="1" applyFill="1" applyBorder="1" applyAlignment="1" applyProtection="1">
      <alignment horizontal="center" vertical="center"/>
      <protection locked="0"/>
    </xf>
    <xf numFmtId="1" fontId="2" fillId="9" borderId="2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hidden="1"/>
    </xf>
    <xf numFmtId="0" fontId="8" fillId="35" borderId="1" xfId="0" applyFont="1" applyFill="1" applyBorder="1" applyAlignment="1" applyProtection="1">
      <alignment horizontal="center" vertical="center"/>
      <protection hidden="1"/>
    </xf>
    <xf numFmtId="0" fontId="8" fillId="35" borderId="2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8" fillId="8" borderId="5" xfId="0" applyFont="1" applyFill="1" applyBorder="1" applyAlignment="1" applyProtection="1">
      <alignment horizontal="center" vertical="center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4" fillId="16" borderId="1" xfId="0" applyFont="1" applyFill="1" applyBorder="1" applyAlignment="1" applyProtection="1">
      <alignment horizontal="left" wrapText="1"/>
      <protection locked="0"/>
    </xf>
    <xf numFmtId="0" fontId="4" fillId="16" borderId="2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9" fontId="2" fillId="2" borderId="3" xfId="0" applyNumberFormat="1" applyFont="1" applyFill="1" applyBorder="1" applyAlignment="1" applyProtection="1">
      <alignment horizontal="center" vertical="center"/>
      <protection locked="0"/>
    </xf>
    <xf numFmtId="10" fontId="2" fillId="2" borderId="1" xfId="0" applyNumberFormat="1" applyFont="1" applyFill="1" applyBorder="1" applyAlignment="1" applyProtection="1">
      <alignment horizontal="center" vertical="center"/>
      <protection locked="0"/>
    </xf>
    <xf numFmtId="10" fontId="2" fillId="2" borderId="2" xfId="0" applyNumberFormat="1" applyFont="1" applyFill="1" applyBorder="1" applyAlignment="1" applyProtection="1">
      <alignment horizontal="center" vertical="center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12" borderId="3" xfId="0" applyFont="1" applyFill="1" applyBorder="1" applyAlignment="1" applyProtection="1">
      <alignment horizontal="center" wrapText="1"/>
      <protection hidden="1"/>
    </xf>
    <xf numFmtId="164" fontId="19" fillId="17" borderId="3" xfId="0" applyNumberFormat="1" applyFont="1" applyFill="1" applyBorder="1" applyAlignment="1" applyProtection="1">
      <protection hidden="1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7" fillId="14" borderId="9" xfId="0" applyFont="1" applyFill="1" applyBorder="1" applyAlignment="1" applyProtection="1">
      <alignment horizontal="center"/>
      <protection hidden="1"/>
    </xf>
    <xf numFmtId="0" fontId="17" fillId="14" borderId="0" xfId="0" applyFont="1" applyFill="1" applyBorder="1" applyAlignment="1" applyProtection="1">
      <alignment horizontal="center"/>
      <protection hidden="1"/>
    </xf>
    <xf numFmtId="0" fontId="18" fillId="9" borderId="3" xfId="0" applyFont="1" applyFill="1" applyBorder="1" applyAlignment="1" applyProtection="1">
      <alignment horizontal="center"/>
      <protection hidden="1"/>
    </xf>
    <xf numFmtId="4" fontId="0" fillId="18" borderId="3" xfId="0" applyNumberFormat="1" applyFill="1" applyBorder="1" applyAlignment="1" applyProtection="1">
      <alignment horizontal="right" vertical="center"/>
      <protection hidden="1"/>
    </xf>
    <xf numFmtId="0" fontId="16" fillId="0" borderId="1" xfId="0" applyFont="1" applyBorder="1" applyAlignment="1" applyProtection="1">
      <alignment horizontal="left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16" fillId="0" borderId="3" xfId="0" applyFont="1" applyBorder="1" applyAlignment="1" applyProtection="1">
      <alignment horizontal="center"/>
      <protection hidden="1"/>
    </xf>
    <xf numFmtId="0" fontId="0" fillId="4" borderId="0" xfId="0" applyFill="1"/>
    <xf numFmtId="0" fontId="0" fillId="35" borderId="0" xfId="0" applyFill="1"/>
    <xf numFmtId="0" fontId="0" fillId="2" borderId="0" xfId="0" applyFill="1"/>
    <xf numFmtId="0" fontId="0" fillId="18" borderId="0" xfId="0" applyFill="1"/>
    <xf numFmtId="0" fontId="0" fillId="6" borderId="0" xfId="0" applyFill="1"/>
    <xf numFmtId="0" fontId="0" fillId="37" borderId="0" xfId="0" applyFill="1"/>
    <xf numFmtId="0" fontId="7" fillId="34" borderId="0" xfId="0" applyFont="1" applyFill="1" applyBorder="1" applyAlignment="1" applyProtection="1">
      <alignment vertical="center"/>
      <protection hidden="1"/>
    </xf>
    <xf numFmtId="0" fontId="7" fillId="34" borderId="0" xfId="0" applyFont="1" applyFill="1" applyBorder="1" applyProtection="1">
      <protection hidden="1"/>
    </xf>
    <xf numFmtId="14" fontId="2" fillId="34" borderId="1" xfId="0" applyNumberFormat="1" applyFont="1" applyFill="1" applyBorder="1" applyAlignment="1" applyProtection="1">
      <alignment horizontal="center" vertical="center"/>
      <protection locked="0"/>
    </xf>
    <xf numFmtId="14" fontId="2" fillId="34" borderId="2" xfId="0" applyNumberFormat="1" applyFont="1" applyFill="1" applyBorder="1" applyAlignment="1" applyProtection="1">
      <alignment horizontal="center" vertical="center"/>
      <protection locked="0"/>
    </xf>
    <xf numFmtId="14" fontId="7" fillId="2" borderId="0" xfId="0" applyNumberFormat="1" applyFont="1" applyFill="1" applyProtection="1"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Insucan%202018%202019/Jubilaci&#243;n/Jubil2018%20(Presup2018jul%20a%20Di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2019(18lect)(025)%20(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LTADO"/>
      <sheetName val="Tiempos de cotización"/>
      <sheetName val="DatosIRPF"/>
      <sheetName val="Haber Regulador"/>
      <sheetName val="IRPFPensión"/>
      <sheetName val="Retribuciones"/>
      <sheetName val="Normativas"/>
      <sheetName val="IRPF A1"/>
      <sheetName val="IRPFPensiónMax"/>
      <sheetName val="IRPF Maestros"/>
      <sheetName val="IRPF 1º y 2ª ESO"/>
      <sheetName val="IRPF TecnFP"/>
      <sheetName val="IRPF Secund"/>
      <sheetName val="IRPF Catred"/>
      <sheetName val="IRPF Inspect"/>
      <sheetName val="deducciones"/>
      <sheetName val="Importe"/>
      <sheetName val="Cálculo sencillo"/>
      <sheetName val="Hoja2"/>
    </sheetNames>
    <sheetDataSet>
      <sheetData sheetId="0" refreshError="1">
        <row r="11">
          <cell r="E11" t="str">
            <v>Profesores de Enseñanza Secundaria</v>
          </cell>
        </row>
        <row r="17">
          <cell r="S17" t="str">
            <v>Isla Capitalina</v>
          </cell>
        </row>
      </sheetData>
      <sheetData sheetId="1" refreshError="1"/>
      <sheetData sheetId="2" refreshError="1">
        <row r="5">
          <cell r="K5">
            <v>10</v>
          </cell>
          <cell r="N5">
            <v>5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</sheetData>
      <sheetData sheetId="3" refreshError="1"/>
      <sheetData sheetId="4" refreshError="1"/>
      <sheetData sheetId="5" refreshError="1"/>
      <sheetData sheetId="6" refreshError="1">
        <row r="4">
          <cell r="C4" t="str">
            <v>Inspector</v>
          </cell>
          <cell r="AD4">
            <v>10</v>
          </cell>
        </row>
        <row r="5">
          <cell r="C5" t="str">
            <v>Catedrático</v>
          </cell>
          <cell r="AD5">
            <v>10</v>
          </cell>
        </row>
        <row r="6">
          <cell r="C6" t="str">
            <v>Profesores de Artes Plásticas y Diseño</v>
          </cell>
          <cell r="AD6">
            <v>10</v>
          </cell>
        </row>
        <row r="7">
          <cell r="C7" t="str">
            <v>Profesores de Musica y Artes Escénicas</v>
          </cell>
          <cell r="AD7">
            <v>10</v>
          </cell>
        </row>
        <row r="8">
          <cell r="C8" t="str">
            <v>Profesores de Escuelas Oficiales de Idiomas</v>
          </cell>
          <cell r="AD8">
            <v>10</v>
          </cell>
        </row>
        <row r="9">
          <cell r="C9" t="str">
            <v>Profesores de Enseñanza Secundaria</v>
          </cell>
          <cell r="AD9">
            <v>10</v>
          </cell>
        </row>
        <row r="10">
          <cell r="C10" t="str">
            <v>Maestros de Taller de Artes Plásticas y Diseño</v>
          </cell>
          <cell r="AD10">
            <v>0</v>
          </cell>
        </row>
        <row r="11">
          <cell r="C11" t="str">
            <v>Profesores Técnicos de Formación Profesional</v>
          </cell>
          <cell r="AD11">
            <v>0</v>
          </cell>
        </row>
        <row r="12">
          <cell r="C12" t="str">
            <v>Maestros 1º y 2º ESO</v>
          </cell>
          <cell r="AD12">
            <v>0</v>
          </cell>
        </row>
        <row r="13">
          <cell r="C13" t="str">
            <v>Maestros</v>
          </cell>
          <cell r="AD13">
            <v>0</v>
          </cell>
        </row>
      </sheetData>
      <sheetData sheetId="7" refreshError="1"/>
      <sheetData sheetId="8" refreshError="1"/>
      <sheetData sheetId="9" refreshError="1"/>
      <sheetData sheetId="10" refreshError="1">
        <row r="37">
          <cell r="B37">
            <v>0.19440379057901822</v>
          </cell>
        </row>
      </sheetData>
      <sheetData sheetId="11" refreshError="1">
        <row r="37">
          <cell r="B37">
            <v>0.19742671928307923</v>
          </cell>
        </row>
      </sheetData>
      <sheetData sheetId="12" refreshError="1">
        <row r="37">
          <cell r="B37">
            <v>0.19764910426018828</v>
          </cell>
        </row>
      </sheetData>
      <sheetData sheetId="13" refreshError="1">
        <row r="37">
          <cell r="B37">
            <v>0.20145853945549197</v>
          </cell>
        </row>
      </sheetData>
      <sheetData sheetId="14" refreshError="1">
        <row r="37">
          <cell r="B37">
            <v>0.21154822438283008</v>
          </cell>
        </row>
      </sheetData>
      <sheetData sheetId="15" refreshError="1">
        <row r="37">
          <cell r="B37">
            <v>0.24184213748526701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"/>
      <sheetName val="IRPF año completo"/>
      <sheetName val="IRPF meses nombrado"/>
      <sheetName val="Retribuciones"/>
    </sheetNames>
    <sheetDataSet>
      <sheetData sheetId="0">
        <row r="7">
          <cell r="C7"/>
        </row>
        <row r="10">
          <cell r="C10" t="str">
            <v>N</v>
          </cell>
        </row>
        <row r="11">
          <cell r="C11" t="str">
            <v>N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M139"/>
  <sheetViews>
    <sheetView tabSelected="1" showWhiteSpace="0" workbookViewId="0">
      <selection activeCell="B39" sqref="B39:C39"/>
    </sheetView>
  </sheetViews>
  <sheetFormatPr baseColWidth="10" defaultRowHeight="12.95" customHeight="1" x14ac:dyDescent="0.25"/>
  <cols>
    <col min="1" max="1" width="1.85546875" style="1" customWidth="1"/>
    <col min="2" max="2" width="67.5703125" style="1" customWidth="1"/>
    <col min="3" max="3" width="19.42578125" style="1" customWidth="1"/>
    <col min="4" max="4" width="17.5703125" style="1" customWidth="1"/>
    <col min="5" max="5" width="16.85546875" style="1" customWidth="1"/>
    <col min="6" max="6" width="12.85546875" style="1" hidden="1" customWidth="1"/>
    <col min="7" max="7" width="14.5703125" style="1" hidden="1" customWidth="1"/>
    <col min="8" max="8" width="3.140625" style="1" hidden="1" customWidth="1"/>
    <col min="9" max="9" width="11.5703125" style="1" hidden="1" customWidth="1"/>
    <col min="10" max="10" width="13.28515625" style="1" hidden="1" customWidth="1"/>
    <col min="11" max="11" width="12.42578125" style="1" hidden="1" customWidth="1"/>
    <col min="12" max="12" width="38.5703125" style="1" hidden="1" customWidth="1"/>
    <col min="13" max="13" width="10" style="1" hidden="1" customWidth="1"/>
    <col min="14" max="14" width="3.28515625" style="1" hidden="1" customWidth="1"/>
    <col min="15" max="15" width="6" style="1" hidden="1" customWidth="1"/>
    <col min="16" max="16" width="49.28515625" style="40" hidden="1" customWidth="1"/>
    <col min="17" max="18" width="15.7109375" style="1" hidden="1" customWidth="1"/>
    <col min="19" max="19" width="76.85546875" style="1" hidden="1" customWidth="1"/>
    <col min="20" max="20" width="8.140625" style="1" hidden="1" customWidth="1"/>
    <col min="21" max="23" width="15.7109375" style="1" hidden="1" customWidth="1"/>
    <col min="24" max="24" width="8.28515625" style="1" hidden="1" customWidth="1"/>
    <col min="25" max="25" width="7.42578125" style="1" hidden="1" customWidth="1"/>
    <col min="26" max="34" width="15.7109375" style="1" hidden="1" customWidth="1"/>
    <col min="35" max="39" width="15.7109375" style="1" customWidth="1"/>
    <col min="40" max="144" width="25.85546875" style="1" customWidth="1"/>
    <col min="145" max="16384" width="11.42578125" style="1"/>
  </cols>
  <sheetData>
    <row r="1" spans="2:39" s="39" customFormat="1" ht="18" x14ac:dyDescent="0.25">
      <c r="B1" s="196" t="s">
        <v>231</v>
      </c>
      <c r="C1" s="197"/>
      <c r="D1" s="197"/>
      <c r="E1" s="198"/>
      <c r="H1" s="1"/>
      <c r="P1" s="40"/>
    </row>
    <row r="2" spans="2:39" s="39" customFormat="1" ht="18" x14ac:dyDescent="0.25">
      <c r="B2" s="202" t="s">
        <v>233</v>
      </c>
      <c r="C2" s="203"/>
      <c r="D2" s="203"/>
      <c r="E2" s="204"/>
      <c r="H2" s="1"/>
      <c r="P2" s="40"/>
    </row>
    <row r="3" spans="2:39" s="39" customFormat="1" ht="18" x14ac:dyDescent="0.25">
      <c r="B3" s="199" t="s">
        <v>176</v>
      </c>
      <c r="C3" s="200"/>
      <c r="D3" s="200"/>
      <c r="E3" s="201"/>
      <c r="H3" s="1"/>
      <c r="P3" s="40"/>
    </row>
    <row r="4" spans="2:39" ht="3.75" customHeight="1" x14ac:dyDescent="0.25">
      <c r="G4" s="32"/>
      <c r="I4" s="32"/>
      <c r="J4" s="32"/>
      <c r="K4" s="32"/>
    </row>
    <row r="5" spans="2:39" ht="15.75" x14ac:dyDescent="0.25">
      <c r="B5" s="36" t="s">
        <v>54</v>
      </c>
      <c r="C5" s="205" t="s">
        <v>73</v>
      </c>
      <c r="D5" s="205"/>
      <c r="E5" s="205"/>
      <c r="F5" s="188" t="s">
        <v>199</v>
      </c>
      <c r="G5" s="189"/>
      <c r="I5" s="32"/>
      <c r="J5" s="32"/>
      <c r="K5" s="32"/>
    </row>
    <row r="6" spans="2:39" ht="15.75" customHeight="1" x14ac:dyDescent="0.25">
      <c r="B6" s="36" t="s">
        <v>55</v>
      </c>
      <c r="C6" s="194" t="s">
        <v>131</v>
      </c>
      <c r="D6" s="195"/>
      <c r="E6" s="190" t="s">
        <v>183</v>
      </c>
      <c r="F6" s="32"/>
      <c r="G6" s="32"/>
      <c r="I6" s="32"/>
      <c r="J6" s="32"/>
      <c r="K6" s="32"/>
    </row>
    <row r="7" spans="2:39" ht="15.75" x14ac:dyDescent="0.25">
      <c r="B7" s="36" t="s">
        <v>221</v>
      </c>
      <c r="C7" s="218">
        <v>30</v>
      </c>
      <c r="D7" s="219"/>
      <c r="E7" s="191"/>
      <c r="F7" s="32"/>
      <c r="G7" s="32"/>
      <c r="I7" s="32"/>
      <c r="J7" s="32"/>
      <c r="K7" s="32"/>
    </row>
    <row r="8" spans="2:39" ht="15" customHeight="1" x14ac:dyDescent="0.25">
      <c r="B8" s="36" t="s">
        <v>222</v>
      </c>
      <c r="C8" s="218">
        <v>30</v>
      </c>
      <c r="D8" s="219"/>
      <c r="E8" s="191"/>
      <c r="F8" s="32"/>
      <c r="G8" s="32"/>
      <c r="I8" s="32"/>
      <c r="J8" s="32"/>
      <c r="K8" s="32"/>
    </row>
    <row r="9" spans="2:39" ht="15" customHeight="1" x14ac:dyDescent="0.25">
      <c r="B9" s="36" t="s">
        <v>217</v>
      </c>
      <c r="C9" s="220" t="s">
        <v>43</v>
      </c>
      <c r="D9" s="221"/>
      <c r="E9" s="191"/>
      <c r="F9" s="32"/>
      <c r="G9" s="32"/>
      <c r="I9" s="32"/>
      <c r="J9" s="32"/>
      <c r="K9" s="32"/>
    </row>
    <row r="10" spans="2:39" ht="15" customHeight="1" x14ac:dyDescent="0.25">
      <c r="B10" s="37" t="s">
        <v>56</v>
      </c>
      <c r="C10" s="222" t="s">
        <v>43</v>
      </c>
      <c r="D10" s="223"/>
      <c r="E10" s="191"/>
      <c r="F10" s="32"/>
      <c r="G10" s="32"/>
      <c r="I10" s="32"/>
      <c r="J10" s="32"/>
      <c r="K10" s="32"/>
      <c r="AM10" s="249"/>
    </row>
    <row r="11" spans="2:39" ht="15" customHeight="1" x14ac:dyDescent="0.25">
      <c r="B11" s="38" t="s">
        <v>194</v>
      </c>
      <c r="C11" s="224" t="s">
        <v>43</v>
      </c>
      <c r="D11" s="224"/>
      <c r="E11" s="191"/>
      <c r="F11" s="32"/>
      <c r="G11" s="32"/>
      <c r="I11" s="32"/>
      <c r="J11" s="32"/>
      <c r="K11" s="32"/>
    </row>
    <row r="12" spans="2:39" ht="15" hidden="1" customHeight="1" x14ac:dyDescent="0.25">
      <c r="B12" s="147" t="s">
        <v>225</v>
      </c>
      <c r="C12" s="206">
        <v>7</v>
      </c>
      <c r="D12" s="207"/>
      <c r="E12" s="151" t="s">
        <v>230</v>
      </c>
      <c r="F12" s="152"/>
      <c r="G12" s="152"/>
      <c r="H12" s="168"/>
      <c r="I12" s="152"/>
      <c r="J12" s="153"/>
      <c r="K12" s="152"/>
      <c r="L12" s="169"/>
    </row>
    <row r="13" spans="2:39" ht="15" customHeight="1" x14ac:dyDescent="0.25">
      <c r="B13" s="147" t="s">
        <v>261</v>
      </c>
      <c r="C13" s="247"/>
      <c r="D13" s="248"/>
      <c r="E13" s="151"/>
      <c r="F13" s="152"/>
      <c r="G13" s="152"/>
      <c r="H13" s="168"/>
      <c r="I13" s="245"/>
      <c r="J13" s="245"/>
      <c r="K13" s="245"/>
      <c r="L13" s="246"/>
    </row>
    <row r="14" spans="2:39" ht="15" hidden="1" customHeight="1" x14ac:dyDescent="0.25">
      <c r="B14" s="147" t="s">
        <v>262</v>
      </c>
      <c r="C14" s="208">
        <f>(MONTH(C13)+1)*30</f>
        <v>60</v>
      </c>
      <c r="D14" s="209"/>
      <c r="E14" s="170"/>
      <c r="F14" s="171"/>
      <c r="G14" s="172"/>
      <c r="H14" s="162"/>
      <c r="I14" s="32"/>
      <c r="J14" s="32"/>
      <c r="K14" s="32"/>
    </row>
    <row r="15" spans="2:39" ht="4.5" customHeight="1" x14ac:dyDescent="0.25">
      <c r="B15" s="36"/>
      <c r="C15" s="225"/>
      <c r="D15" s="226"/>
      <c r="F15" s="32"/>
      <c r="G15" s="32"/>
      <c r="I15" s="32"/>
      <c r="J15" s="32"/>
      <c r="K15" s="32"/>
      <c r="Q15" s="141"/>
      <c r="R15" s="141"/>
      <c r="S15" s="141"/>
      <c r="T15" s="141"/>
      <c r="U15" s="141"/>
      <c r="V15" s="141"/>
      <c r="W15" s="141"/>
      <c r="X15" s="142"/>
    </row>
    <row r="16" spans="2:39" ht="15" customHeight="1" x14ac:dyDescent="0.25">
      <c r="B16" s="62" t="str">
        <f>IF(C6=P69,"Funcionario Interino. Estimación % de retención anual de IRPF.","Funcionarios Carrera. Estimación % de retención anual de IRPF.")</f>
        <v>Funcionarios Carrera. Estimación % de retención anual de IRPF.</v>
      </c>
      <c r="C16" s="227">
        <f>IF(C6="Interino",+'IRPF meses nombrado'!B35,+'IRPF año completo'!B35)</f>
        <v>0.21317650164463875</v>
      </c>
      <c r="D16" s="227"/>
      <c r="E16" s="156"/>
      <c r="F16" s="148"/>
      <c r="G16" s="149"/>
      <c r="I16" s="155"/>
      <c r="J16" s="157"/>
      <c r="K16" s="154"/>
      <c r="L16" s="158"/>
    </row>
    <row r="17" spans="1:26" ht="8.25" customHeight="1" x14ac:dyDescent="0.25">
      <c r="B17" s="3"/>
      <c r="C17" s="3"/>
      <c r="D17" s="3"/>
      <c r="F17" s="32"/>
      <c r="G17" s="32"/>
      <c r="I17" s="32"/>
      <c r="J17" s="32"/>
      <c r="K17" s="32"/>
    </row>
    <row r="18" spans="1:26" ht="16.5" customHeight="1" x14ac:dyDescent="0.25">
      <c r="A18" s="32"/>
      <c r="B18" s="32"/>
      <c r="C18" s="32"/>
      <c r="D18" s="210" t="s">
        <v>226</v>
      </c>
      <c r="E18" s="210"/>
      <c r="F18" s="210"/>
      <c r="G18" s="210"/>
      <c r="H18" s="32"/>
      <c r="I18" s="32"/>
      <c r="J18" s="32"/>
      <c r="K18" s="32"/>
    </row>
    <row r="19" spans="1:26" ht="16.5" customHeight="1" x14ac:dyDescent="0.25">
      <c r="A19" s="32"/>
      <c r="B19" s="32"/>
      <c r="C19" s="32"/>
      <c r="D19" s="211" t="s">
        <v>223</v>
      </c>
      <c r="E19" s="212"/>
      <c r="F19" s="211" t="s">
        <v>224</v>
      </c>
      <c r="G19" s="212"/>
      <c r="H19" s="32"/>
      <c r="I19" s="32"/>
      <c r="J19" s="32"/>
      <c r="K19" s="32"/>
    </row>
    <row r="20" spans="1:26" ht="25.5" x14ac:dyDescent="0.25">
      <c r="B20" s="2"/>
      <c r="C20" s="15" t="s">
        <v>218</v>
      </c>
      <c r="D20" s="164" t="s">
        <v>227</v>
      </c>
      <c r="E20" s="150" t="s">
        <v>234</v>
      </c>
      <c r="F20" s="164" t="s">
        <v>227</v>
      </c>
      <c r="G20" s="150" t="s">
        <v>228</v>
      </c>
      <c r="Q20" s="145"/>
      <c r="R20" s="145"/>
      <c r="S20" s="145"/>
      <c r="T20" s="145"/>
      <c r="U20" s="145"/>
      <c r="V20" s="145"/>
      <c r="W20" s="145"/>
      <c r="X20" s="146"/>
      <c r="Y20" s="2"/>
      <c r="Z20" s="2"/>
    </row>
    <row r="21" spans="1:26" ht="15" customHeight="1" x14ac:dyDescent="0.25">
      <c r="A21" s="2"/>
      <c r="B21" s="24" t="s">
        <v>2</v>
      </c>
      <c r="C21" s="22" t="str">
        <f>+Retribuciones!P24</f>
        <v>A1</v>
      </c>
      <c r="D21" s="17">
        <f>+Retribuciones!P26</f>
        <v>1203.56</v>
      </c>
      <c r="E21" s="17">
        <f>+D21-(+Retribuciones19!P26)</f>
        <v>23.599999999999909</v>
      </c>
      <c r="F21" s="17">
        <f>IF(OR(C$5=P$91,C$5=P$92,C$5=P$93,C$5=P$94,C$5=P$95,C$5=P$96,C$5=P$97,C$5=P$98),(D21/18)*C$12,(D21/25)*C$12)</f>
        <v>468.05111111111114</v>
      </c>
      <c r="G21" s="17">
        <f>+(F21/30)*C$14</f>
        <v>936.10222222222228</v>
      </c>
      <c r="I21" s="32"/>
      <c r="J21" s="32"/>
      <c r="K21" s="32"/>
    </row>
    <row r="22" spans="1:26" ht="15" customHeight="1" x14ac:dyDescent="0.25">
      <c r="A22" s="2"/>
      <c r="B22" s="64" t="str">
        <f>CONCATENATE("Trienios (Gr.",C22,"-",INT(+C7/3),")")</f>
        <v>Trienios (Gr.A1-10)</v>
      </c>
      <c r="C22" s="22" t="str">
        <f>+C21</f>
        <v>A1</v>
      </c>
      <c r="D22" s="18">
        <f>Retribuciones!P28*INT($C$7/3)</f>
        <v>463.2</v>
      </c>
      <c r="E22" s="18">
        <f>D22-(Retribuciones19!P28*INT($C$7/3))</f>
        <v>9.0999999999999659</v>
      </c>
      <c r="F22" s="17">
        <f>IF(OR(C$5=P$91,C$5=P$92,C$5=P$93,C$5=P$94,C$5=P$95,C$5=P$96,C$5=P$97,C$5=P$98),(D22/18)*C$12,(D22/25)*C$12)</f>
        <v>180.13333333333333</v>
      </c>
      <c r="G22" s="17">
        <f t="shared" ref="G22:G42" si="0">+(F22/30)*C$14</f>
        <v>360.26666666666665</v>
      </c>
      <c r="I22" s="32"/>
      <c r="J22" s="32"/>
      <c r="K22" s="32"/>
    </row>
    <row r="23" spans="1:26" s="2" customFormat="1" ht="15" customHeight="1" x14ac:dyDescent="0.25">
      <c r="B23" s="24" t="str">
        <f>IF(C11="s","Residencia en isla No Capitalina","Residencia en isla Capitalina")</f>
        <v>Residencia en isla Capitalina</v>
      </c>
      <c r="C23" s="33"/>
      <c r="D23" s="18">
        <f>IF($C$11="s",+Retribuciones!P45,Retribuciones!P44)</f>
        <v>141.38999999999999</v>
      </c>
      <c r="E23" s="18">
        <f>D23-(IF($C$11="s",+Retribuciones19!P45,Retribuciones19!P44))</f>
        <v>2.7799999999999727</v>
      </c>
      <c r="F23" s="17">
        <f>IF(OR(C$5=P$91,C$5=P$92,C$5=P$93,C$5=P$94,C$5=P$95,C$5=P$96,C$5=P$97,C$5=P$98),(D23/18)*C$12,(D23/25)*C$12)</f>
        <v>54.984999999999999</v>
      </c>
      <c r="G23" s="17">
        <f t="shared" si="0"/>
        <v>109.97</v>
      </c>
      <c r="H23" s="1"/>
      <c r="I23" s="32"/>
      <c r="J23" s="32"/>
      <c r="K23" s="32"/>
      <c r="L23" s="1"/>
      <c r="M23" s="1"/>
      <c r="N23" s="1"/>
      <c r="O23" s="1"/>
      <c r="P23" s="40"/>
    </row>
    <row r="24" spans="1:26" s="2" customFormat="1" ht="15.75" x14ac:dyDescent="0.25">
      <c r="B24" s="24" t="str">
        <f>IF(C11="s","Trienio en isla No Capitalina"," ")</f>
        <v xml:space="preserve"> </v>
      </c>
      <c r="C24" s="25"/>
      <c r="D24" s="18">
        <f>IF($C$11="s",Retribuciones!P46*INT($C$7/3),0)</f>
        <v>0</v>
      </c>
      <c r="E24" s="18">
        <f>IF($C$11="s",Retribuciones19!P46*INT($C$7/3),0)</f>
        <v>0</v>
      </c>
      <c r="F24" s="17">
        <f>IF(OR(C$5=P$91,C$5=P$92,C$5=P$93,C$5=P$94,C$5=P$95,C$5=P$96,C$5=P$97,C$5=P$98),(D24/18)*C$12,(D24/25)*C$12)</f>
        <v>0</v>
      </c>
      <c r="G24" s="17">
        <f t="shared" si="0"/>
        <v>0</v>
      </c>
      <c r="H24" s="1"/>
      <c r="I24" s="1"/>
      <c r="J24" s="1"/>
      <c r="K24" s="1"/>
      <c r="P24" s="136"/>
    </row>
    <row r="25" spans="1:26" s="2" customFormat="1" ht="15.75" x14ac:dyDescent="0.25">
      <c r="B25" s="29" t="s">
        <v>195</v>
      </c>
      <c r="C25" s="34"/>
      <c r="D25" s="18">
        <f>Retribuciones!P32</f>
        <v>666.88</v>
      </c>
      <c r="E25" s="18">
        <f>D25-(Retribuciones19!P32)</f>
        <v>13.080000000000041</v>
      </c>
      <c r="F25" s="17">
        <f>IF(OR(C$5=P$91,C$5=P$92,C$5=P$93,C$5=P$94,C$5=P$95,C$5=P$96,C$5=P$97,C$5=P$98),(D25/18)*C$12,(D25/25)*C$12)</f>
        <v>259.34222222222223</v>
      </c>
      <c r="G25" s="17">
        <f t="shared" si="0"/>
        <v>518.68444444444447</v>
      </c>
      <c r="H25" s="1"/>
      <c r="I25" s="1"/>
      <c r="J25" s="1"/>
      <c r="K25" s="1"/>
      <c r="P25" s="136"/>
    </row>
    <row r="26" spans="1:26" s="2" customFormat="1" ht="15.75" x14ac:dyDescent="0.25">
      <c r="A26" s="1"/>
      <c r="B26" s="24" t="s">
        <v>196</v>
      </c>
      <c r="C26" s="23">
        <f>+Retribuciones!P25</f>
        <v>24</v>
      </c>
      <c r="D26" s="18">
        <f>Retribuciones!P30</f>
        <v>641.34</v>
      </c>
      <c r="E26" s="18">
        <f>+D26-(Retribuciones19!P30)</f>
        <v>12.580000000000041</v>
      </c>
      <c r="F26" s="17">
        <f>IF(OR(C$5=P$91,C$5=P$92,C$5=P$93,C$5=P$94,C$5=P$95,C$5=P$96,C$5=P$97,C$5=P$98),(D26/18)*C$12,(D26/25)*C$12)</f>
        <v>249.41000000000003</v>
      </c>
      <c r="G26" s="17">
        <f t="shared" si="0"/>
        <v>498.82000000000011</v>
      </c>
      <c r="H26" s="1"/>
      <c r="I26" s="1"/>
      <c r="J26" s="1"/>
      <c r="K26" s="1"/>
      <c r="P26" s="136"/>
    </row>
    <row r="27" spans="1:26" s="2" customFormat="1" ht="15.75" x14ac:dyDescent="0.25">
      <c r="A27" s="1"/>
      <c r="B27" s="29" t="str">
        <f>IF(AND($C$9="s",C5=P99),"Complemento nivelador maestros 1º y 2º ESO"," ")</f>
        <v xml:space="preserve"> </v>
      </c>
      <c r="C27" s="25"/>
      <c r="D27" s="18">
        <f>IF(AND($C$9="s",C5=Retribuciones!L23),Retribuciones!AV80,0)</f>
        <v>0</v>
      </c>
      <c r="E27" s="18">
        <f>IF(AND($C$9="s",C5=Retribuciones19!L23),Retribuciones19!AV80,0)</f>
        <v>0</v>
      </c>
      <c r="F27" s="17">
        <f>IF(OR(C$5=P$91,C$5=P$92,C$5=P$93,C$5=P$94,C$5=P$95,C$5=P$96,C$5=P$97,C$5=P$98),(D27/18)*C$12,(D27/25)*C$12)</f>
        <v>0</v>
      </c>
      <c r="G27" s="17">
        <f t="shared" si="0"/>
        <v>0</v>
      </c>
      <c r="H27" s="1"/>
      <c r="I27" s="1"/>
      <c r="J27" s="1"/>
      <c r="K27" s="1"/>
      <c r="P27" s="136"/>
    </row>
    <row r="28" spans="1:26" s="2" customFormat="1" ht="15.75" x14ac:dyDescent="0.25">
      <c r="A28" s="1"/>
      <c r="B28" s="29" t="str">
        <f>IF(AND(C7&gt;5,C7&lt;12),"1º Sexenio",IF(AND(C7&gt;11,C7&lt;18),"2 Sexenios consolidados",IF(AND(C7&gt;17,C7&lt;24),"3 Sexenios consolidados",IF(AND(C7&gt;23,C7&lt;30),"4 Sexenios consolidados",IF(C7&gt;29,"5 Sexenios consolidados","")))))</f>
        <v>5 Sexenios consolidados</v>
      </c>
      <c r="C28" s="25"/>
      <c r="D28" s="18">
        <f>IF(AND(C8&gt;5,C8&lt;12),Retribuciones!P34,IF(AND(C8&gt;11,C8&lt;18),Retribuciones!E36,IF(AND(C8&gt;17,C8&lt;24),Retribuciones!E38,IF(AND(C8&gt;23,C8&lt;30),Retribuciones!E40,IF(C8&gt;29,Retribuciones!E42,0)))))</f>
        <v>188.8</v>
      </c>
      <c r="E28" s="18">
        <f>D28-(IF(AND(C8&gt;5,C8&lt;12),Retribuciones19!P34,IF(AND(C8&gt;11,C8&lt;18),Retribuciones19!E36,IF(AND(C8&gt;17,C8&lt;24),Retribuciones19!E38,IF(AND(C8&gt;23,C8&lt;30),Retribuciones19!E40,IF(C8&gt;29,Retribuciones19!E42,0))))))</f>
        <v>0</v>
      </c>
      <c r="F28" s="17">
        <f>IF(OR(C$5=P$91,C$5=P$92,C$5=P$93,C$5=P$94,C$5=P$95,C$5=P$96,C$5=P$97,C$5=P$98),(D28/18)*C$12,(D28/25)*C$12)</f>
        <v>73.422222222222217</v>
      </c>
      <c r="G28" s="17">
        <f t="shared" si="0"/>
        <v>146.84444444444443</v>
      </c>
      <c r="H28" s="1"/>
      <c r="I28" s="1"/>
      <c r="J28" s="1"/>
      <c r="K28" s="1"/>
      <c r="P28" s="136"/>
    </row>
    <row r="29" spans="1:26" s="2" customFormat="1" ht="15.75" hidden="1" x14ac:dyDescent="0.25">
      <c r="A29" s="1"/>
      <c r="B29" s="29"/>
      <c r="C29" s="25"/>
      <c r="D29" s="18"/>
      <c r="E29" s="18"/>
      <c r="F29" s="17">
        <f>IF(OR(C$5=P$91,C$5=P$92,C$5=P$93,C$5=P$94,C$5=P$95,C$5=P$96,C$5=P$97,C$5=P$98),(D29/18)*C$12,(D29/25)*C$12)</f>
        <v>0</v>
      </c>
      <c r="G29" s="17">
        <f t="shared" si="0"/>
        <v>0</v>
      </c>
      <c r="H29" s="1"/>
      <c r="I29" s="1"/>
      <c r="J29" s="1"/>
      <c r="K29" s="1"/>
      <c r="P29" s="136"/>
    </row>
    <row r="30" spans="1:26" s="2" customFormat="1" ht="15.75" hidden="1" x14ac:dyDescent="0.25">
      <c r="A30" s="1"/>
      <c r="B30" s="29"/>
      <c r="C30" s="25"/>
      <c r="D30" s="18"/>
      <c r="E30" s="18"/>
      <c r="F30" s="17">
        <f>IF(OR(C$5=P$91,C$5=P$92,C$5=P$93,C$5=P$94,C$5=P$95,C$5=P$96,C$5=P$97,C$5=P$98),(D30/18)*C$12,(D30/25)*C$12)</f>
        <v>0</v>
      </c>
      <c r="G30" s="17">
        <f t="shared" si="0"/>
        <v>0</v>
      </c>
      <c r="H30" s="1"/>
      <c r="I30" s="1"/>
      <c r="J30" s="1"/>
      <c r="K30" s="1"/>
      <c r="P30" s="136"/>
    </row>
    <row r="31" spans="1:26" s="2" customFormat="1" ht="15.75" hidden="1" x14ac:dyDescent="0.25">
      <c r="A31" s="1"/>
      <c r="B31" s="29"/>
      <c r="C31" s="25"/>
      <c r="D31" s="18"/>
      <c r="E31" s="18"/>
      <c r="F31" s="17">
        <f>IF(OR(C$5=P$91,C$5=P$92,C$5=P$93,C$5=P$94,C$5=P$95,C$5=P$96,C$5=P$97,C$5=P$98),(D31/18)*C$12,(D31/25)*C$12)</f>
        <v>0</v>
      </c>
      <c r="G31" s="17">
        <f t="shared" si="0"/>
        <v>0</v>
      </c>
      <c r="H31" s="1"/>
      <c r="I31" s="1"/>
      <c r="J31" s="1"/>
      <c r="K31" s="1"/>
      <c r="P31" s="136"/>
    </row>
    <row r="32" spans="1:26" ht="15.75" hidden="1" x14ac:dyDescent="0.25">
      <c r="B32" s="29"/>
      <c r="C32" s="25"/>
      <c r="D32" s="18"/>
      <c r="E32" s="18"/>
      <c r="F32" s="17">
        <f>IF(OR(C$5=P$91,C$5=P$92,C$5=P$93,C$5=P$94,C$5=P$95,C$5=P$96,C$5=P$97,C$5=P$98),(D32/18)*C$12,(D32/25)*C$12)</f>
        <v>0</v>
      </c>
      <c r="G32" s="17">
        <f t="shared" si="0"/>
        <v>0</v>
      </c>
    </row>
    <row r="33" spans="2:9" ht="15.75" hidden="1" x14ac:dyDescent="0.25">
      <c r="B33" s="29"/>
      <c r="C33" s="25"/>
      <c r="D33" s="18"/>
      <c r="E33" s="18"/>
      <c r="F33" s="17">
        <f>IF(OR(C$5=P$91,C$5=P$92,C$5=P$93,C$5=P$94,C$5=P$95,C$5=P$96,C$5=P$97,C$5=P$98),(D33/18)*C$12,(D33/25)*C$12)</f>
        <v>0</v>
      </c>
      <c r="G33" s="17">
        <f t="shared" si="0"/>
        <v>0</v>
      </c>
    </row>
    <row r="34" spans="2:9" ht="15.75" x14ac:dyDescent="0.25">
      <c r="B34" s="29" t="str">
        <f>IF($C$10="junio","Paga extra junio, Sueldo Base",IF(AND($C$10="diciembre", C6="Interino"),"Paga extra diciembre (sep a dic), Sueldo Base",IF($C$10="agosto","Liquidación Paga extra diciembre, Sueldo Base",IF(AND($C$10="diciembre", C6="Carrera (anterior a 1 enero 2011)"),"Paga extra diciembre, Sueldo Base",IF(AND($C$10="diciembre", C6="Carrera (posterior a 1 enero 2011)"),"Paga extra diciembre, Sueldo Base"," ")))))</f>
        <v xml:space="preserve"> </v>
      </c>
      <c r="C34" s="25"/>
      <c r="D34" s="18">
        <f>((IF($C$10="junio",Retribuciones!P27,IF(AND($C$10="diciembre",C6="Interino"),Retribuciones!P27/2,IF(AND($C$10="agosto",C6="Interino"),Retribuciones!P27/2,IF(AND($C$10="diciembre",C6="Carrera (anterior a 1 enero 2011)"),Retribuciones!P27,IF(AND($C$10="diciembre",C6="Carrera (posterior a 1 enero 2011)"),Retribuciones!P27,0))))))/180)*C14</f>
        <v>0</v>
      </c>
      <c r="E34" s="18">
        <f>IF($C$10="junio",Retribuciones!Q27,IF(AND($C$10="diciembre",D6="Interino"),Retribuciones!Q27/2,IF(AND($C$10="agosto",D6="Interino"),Retribuciones!Q27/2,IF(AND($C$10="diciembre",D6="Carrera (anterior a 1 enero 2011)"),Retribuciones!Q27,IF(AND($C$10="diciembre",D6="Carrera (posterior a 1 enero 2011)"),Retribuciones!Q27,0)))))</f>
        <v>0</v>
      </c>
      <c r="F34" s="17">
        <f>IF(OR(C$5=P$91,C$5=P$92,C$5=P$93,C$5=P$94,C$5=P$95,C$5=P$96,C$5=P$97,C$5=P$98),(D34/18)*C$12,(D34/25)*C$12)</f>
        <v>0</v>
      </c>
      <c r="G34" s="17">
        <f t="shared" si="0"/>
        <v>0</v>
      </c>
    </row>
    <row r="35" spans="2:9" ht="15" customHeight="1" x14ac:dyDescent="0.25">
      <c r="B35" s="29" t="str">
        <f>IF($C$10="junio","Paga extra junio, Trienios",IF(AND($C$10="diciembre",C6="Interino"),"Paga extra diciembre (Sep a dic), Trienios",IF($C$10="agosto","Liquidación Paga extra diciembre, Trienios",IF(AND($C$10="diciembre",C6="Carrera (anterior a 1 enero 2011)"),"Paga extra diciembre, Trienios",IF(AND($C$10="diciembre",C6="Carrera (posterior a 1 enero 2011)"),"Paga extra diciembre, Trienios"," ")))))</f>
        <v xml:space="preserve"> </v>
      </c>
      <c r="C35" s="25"/>
      <c r="D35" s="18">
        <f>((IF($C$10="junio",Retribuciones!P29*INT($C$7/3),IF(AND($C$10="diciembre",C6="Interino"),(Retribuciones!P29*INT($C$7/3))/2,IF(AND($C$10="agosto",C6="Interino"),(Retribuciones!P29*INT($C$7/3))/2,IF(AND($C$10="diciembre",C6="Carrera (anterior a 1 enero 2011)"),(Retribuciones!P29*INT($C$7/3)),IF(AND($C$10="diciembre",C6="Carrera (posterior a 1 enero 2011)"),(Retribuciones!P29*INT($C$7/3)),0))))))/180)*C14</f>
        <v>0</v>
      </c>
      <c r="E35" s="18">
        <f>IF($C$10="junio",Retribuciones!Q29*INT($C$7/3),IF(AND($C$10="diciembre",D6="Interino"),(Retribuciones!Q29*INT($C$7/3))/2,IF(AND($C$10="agosto",D6="Interino"),(Retribuciones!Q29*INT($C$7/3))/2,IF(AND($C$10="diciembre",D6="Carrera (anterior a 1 enero 2011)"),(Retribuciones!Q29*INT($C$7/3)),IF(AND($C$10="diciembre",D6="Carrera (posterior a 1 enero 2011)"),(Retribuciones!Q29*INT($C$7/3)),0)))))</f>
        <v>0</v>
      </c>
      <c r="F35" s="17">
        <f>IF(OR(C$5=P$91,C$5=P$92,C$5=P$93,C$5=P$94,C$5=P$95,C$5=P$96,C$5=P$97,C$5=P$98),(D35/18)*C$12,(D35/25)*C$12)</f>
        <v>0</v>
      </c>
      <c r="G35" s="17">
        <f t="shared" si="0"/>
        <v>0</v>
      </c>
    </row>
    <row r="36" spans="2:9" ht="15" customHeight="1" x14ac:dyDescent="0.25">
      <c r="B36" s="29" t="str">
        <f>IF($C$10="junio","Paga extra junio, CompLemento Destino",IF(AND($C$10="diciembre",C6="Interino"),"Paga extra diciembre (sep a dic), CompLemento Destino",IF($C$10="agosto","Liquidación Paga extra diciembre, CompLemento Destino",IF(AND($C$10="diciembre",C6="Carrera (anterior a 1 enero 2011)"),"Paga extra diciembre, CompLemento Destino",IF(AND($C$10="diciembre",C6="Carrera (posterior a 1 enero 2011)"),"Paga extra diciembre, CompLemento Destino"," ")))))</f>
        <v xml:space="preserve"> </v>
      </c>
      <c r="C36" s="25"/>
      <c r="D36" s="18">
        <f>((IF($C$10="junio",Retribuciones!P31,IF(AND($C$10="diciembre",C6="Interino"),Retribuciones!P31/2,IF(AND($C$10="agosto",C6="Interino"),Retribuciones!P31/2,IF(AND($C$10="diciembre",C6="Carrera (anterior a 1 enero 2011)"),Retribuciones!P31,IF(AND($C$10="diciembre",C6="Carrera (posterior a 1 enero 2011)"),Retribuciones!P31,0))))))/180)*C14</f>
        <v>0</v>
      </c>
      <c r="E36" s="18">
        <f>IF($C$10="junio",Retribuciones!Q31,IF(AND($C$10="diciembre",D6="Interino"),Retribuciones!Q31/2,IF(AND($C$10="agosto",D6="Interino"),Retribuciones!Q31/2,IF(AND($C$10="diciembre",D6="Carrera (anterior a 1 enero 2011)"),Retribuciones!Q31,IF(AND($C$10="diciembre",D6="Carrera (posterior a 1 enero 2011)"),Retribuciones!Q31,0)))))</f>
        <v>0</v>
      </c>
      <c r="F36" s="17">
        <f>IF(OR(C$5=P$91,C$5=P$92,C$5=P$93,C$5=P$94,C$5=P$95,C$5=P$96,C$5=P$97,C$5=P$98),(D36/18)*C$12,(D36/25)*C$12)</f>
        <v>0</v>
      </c>
      <c r="G36" s="17">
        <f t="shared" si="0"/>
        <v>0</v>
      </c>
    </row>
    <row r="37" spans="2:9" ht="15" customHeight="1" x14ac:dyDescent="0.25">
      <c r="B37" s="29" t="str">
        <f>IF($C$10="junio","Adicional, Complemento específico junio",IF(AND($C$10="diciembre",C6="Interino"),"Adicional, Complemento específico diciembre (sep a dic)",IF($C$10="agosto","Liquidación Adicional, Complemento específico diciembre",IF(AND($C$10="diciembre",C6="Carrera (anterior a 1 enero 2011)"),"Adicional, Complemento específico diciembre",IF(AND($C$10="diciembre",C6="Carrera (posterior a 1 enero 2011)"),"Adicional, Complemento específico diciembre"," ")))))</f>
        <v xml:space="preserve"> </v>
      </c>
      <c r="C37" s="25"/>
      <c r="D37" s="18">
        <f>((IF(AND($C$9="s",C5=Retribuciones!M23),IF($C$10="junio",((Retribuciones!P32+Retribuciones!AV80)*78%),IF($C$10="diciembre",((Retribuciones!P32+Retribuciones!AV80)*78%),0)),IF($C$10="junio",((Retribuciones!P32)*78%),IF(AND($C$10="diciembre",C6="Interino"),((((Retribuciones!P32)*78%))/6)*4,IF(AND($C$10="agosto",C6="Interino"),((Retribuciones!P32)*78%)/3,IF(AND($C$10="diciembre",C6="Carrera (anterior a 1 enero 2011)"),(((Retribuciones!P32)*78%)),IF(AND($C$10="diciembre",C6="Carrera (posterior a 1 enero 2011)"),(((Retribuciones!P32)*78%)),0)))))))/180)*(C14-30)</f>
        <v>0</v>
      </c>
      <c r="E37" s="18">
        <f>IF(AND($C$9="s",D5=Retribuciones!N23),IF($C$10="junio",((Retribuciones!Q32+Retribuciones!AW80)*78%),IF($C$10="diciembre",((Retribuciones!Q32+Retribuciones!AW80)*78%),0)),IF($C$10="junio",((Retribuciones!Q32)*78%),IF(AND($C$10="diciembre",D6="Interino"),((((Retribuciones!Q32)*78%))/6)*4,IF(AND($C$10="agosto",D6="Interino"),((Retribuciones!Q32)*78%)/3,IF(AND($C$10="diciembre",D6="Carrera (anterior a 1 enero 2011)"),(((Retribuciones!Q32)*78%)),IF(AND($C$10="diciembre",D6="Carrera (posterior a 1 enero 2011)"),(((Retribuciones!Q32)*78%)),0))))))</f>
        <v>0</v>
      </c>
      <c r="F37" s="17">
        <f>IF(OR(C$5=P$91,C$5=P$92,C$5=P$93,C$5=P$94,C$5=P$95,C$5=P$96,C$5=P$97,C$5=P$98),(D37/18)*C$12,(D37/25)*C$12)</f>
        <v>0</v>
      </c>
      <c r="G37" s="17">
        <f t="shared" si="0"/>
        <v>0</v>
      </c>
    </row>
    <row r="38" spans="2:9" ht="15" customHeight="1" x14ac:dyDescent="0.25">
      <c r="B38" s="29" t="str">
        <f>IF($C$10="junio","Paga extra Sexenios",IF(AND($C$10="diciembre",C6="Interino"),"Paga extra Sexenios (sep a dic)",IF($C$10="agosto","Liquidación Paga extra Sexenios",IF(AND($C$10="diciembre",C6="Carrera (anterior a 1 enero 2011)"),"Paga extra Sexenios",IF(AND($C$10="diciembre",C6="Carrera (posterior a 1 enero 2011)"),"Paga extra Sexenios"," ")))))</f>
        <v xml:space="preserve"> </v>
      </c>
      <c r="C38" s="108"/>
      <c r="D38" s="18">
        <f>((IF($C$10="junio",D28*0.78,IF(AND($C$10="diciembre",C6="Interino"),(((D28*0.78)/6)*4),IF(AND($C$10="agosto",C6="Interino"),(((D28*0.78)/6)*2),IF(AND($C$10="diciembre",C6="Carrera (anterior a 1 enero 2011)"),D28*0.78,IF(AND($C$10="diciembre",C6="Carrera (posterior a 1 enero 2011)"),D28*0.78,0))))))/180)*(C14-30)</f>
        <v>0</v>
      </c>
      <c r="E38" s="18">
        <f>IF($C$10="junio",E28*0.78,IF(AND($C$10="diciembre",D6="Interino"),(((E28*0.78)/6)*4),IF(AND($C$10="agosto",D6="Interino"),(((E28*0.78)/6)*2),IF(AND($C$10="diciembre",D6="Carrera (anterior a 1 enero 2011)"),E28*0.78,IF(AND($C$10="diciembre",D6="Carrera (posterior a 1 enero 2011)"),E28*0.78,0)))))</f>
        <v>0</v>
      </c>
      <c r="F38" s="17">
        <f>IF(OR(C$5=P$91,C$5=P$92,C$5=P$93,C$5=P$94,C$5=P$95,C$5=P$96,C$5=P$97,C$5=P$98),(D38/18)*C$12,(D38/25)*C$12)</f>
        <v>0</v>
      </c>
      <c r="G38" s="17">
        <f t="shared" si="0"/>
        <v>0</v>
      </c>
    </row>
    <row r="39" spans="2:9" ht="15" customHeight="1" x14ac:dyDescent="0.25">
      <c r="B39" s="216" t="s">
        <v>190</v>
      </c>
      <c r="C39" s="217"/>
      <c r="D39" s="21">
        <f>IF(C13&gt;1,(((IF(B39=S125,T125,IF(B39=S126,T126,IF(B39=S127,T127,IF(B39=S128,T128,IF(B39=S129,T129,IF(B39=S130,T130,IF(B39=S131,T131,IF(B39=S132,T133,IF(B39=S133,T132,0))))))))))/30)*(DAY(C13)-1)),(IF(B39=S125,T125,IF(B39=S126,T126,IF(B39=S127,T127,IF(B39=S128,T128,IF(B39=S129,T129,IF(B39=S130,T130,IF(B39=S131,T131,IF(B39=S132,T133,IF(B39=S133,T132,0)))))))))))</f>
        <v>0</v>
      </c>
      <c r="E39" s="21">
        <f>IF(C39=T125,U125,IF(C39=T126,U126,IF(C39=T127,U127,IF(C39=T128,U128,IF(C39=T129,U129,IF(C39=T130,U130,IF(C39=T131,U131,IF(C39=T132,U133,IF(C39=T133,U132,0)))))))))</f>
        <v>0</v>
      </c>
      <c r="F39" s="17">
        <f>+D39</f>
        <v>0</v>
      </c>
      <c r="G39" s="17">
        <f t="shared" si="0"/>
        <v>0</v>
      </c>
    </row>
    <row r="40" spans="2:9" ht="15" customHeight="1" x14ac:dyDescent="0.25">
      <c r="B40" s="216" t="s">
        <v>193</v>
      </c>
      <c r="C40" s="217"/>
      <c r="D40" s="18">
        <f>IF(B40=S68,T68,IF(B40=S69,T69,IF(B40=S70,T70,IF(B40=S71,T71,IF(B40=S72,T72,IF(B40=S73,T73,IF(B40=S74,T74,IF(B40=S75,T75,IF(B40=S75,T75,IF(B40=S76,T76,IF(B40=S77,T77,IF(B40=S78,T78,IF(B40=S79,T79,IF(B40=S80,T80,IF(B40=S81,T81,IF(B40=S82,T82,IF(B40=S83,T83,IF(B40=S84,T84,IF(B40=S85,T85,0)))))))))))))))))))</f>
        <v>0</v>
      </c>
      <c r="E40" s="18">
        <f>IF(C40=T68,U68,IF(C40=T69,U69,IF(C40=T70,U70,IF(C40=T71,U71,IF(C40=T72,U72,IF(C40=T73,U73,IF(C40=T74,U74,IF(C40=T75,U75,IF(C40=T75,U75,IF(C40=T76,U76,IF(C40=T77,U77,IF(C40=T78,U78,IF(C40=T79,U79,IF(C40=T80,U80,IF(C40=T81,U81,IF(C40=T82,U82,IF(C40=T83,U83,IF(C40=T84,U84,IF(C40=T85,U85,0)))))))))))))))))))</f>
        <v>0</v>
      </c>
      <c r="F40" s="17">
        <f t="shared" ref="F40:F42" si="1">+D40</f>
        <v>0</v>
      </c>
      <c r="G40" s="17">
        <f t="shared" si="0"/>
        <v>0</v>
      </c>
    </row>
    <row r="41" spans="2:9" ht="15" customHeight="1" x14ac:dyDescent="0.25">
      <c r="B41" s="216" t="s">
        <v>192</v>
      </c>
      <c r="C41" s="217"/>
      <c r="D41" s="18">
        <f>IF(B41=S87,T87,IF(B41=S88,T88,IF(B41=S89,T89,IF(B41=S90,T90,IF(B41=S91,T91,IF(B41=S92,T92,IF(B41=S93,T93,IF(B41=S94,T94,IF(B41=S95,T95,IF(B41=S96,T96,IF(B41=S97,T97,IF(B41=S98,T98,IF(B41=S99,T99,IF(B41=S100,T100,IF(B41=S101,T101,IF(B41=S102,T102,IF(B41=S103,T103,IF(B41=S104,T104,IF(B41=S105,T105,IF(B41=S106,T106,0))))))))))))))))))))</f>
        <v>0</v>
      </c>
      <c r="E41" s="18">
        <f>IF(C41=T87,U87,IF(C41=T88,U88,IF(C41=T89,U89,IF(C41=T90,U90,IF(C41=T91,U91,IF(C41=T92,U92,IF(C41=T93,U93,IF(C41=T94,U94,IF(C41=T95,U95,IF(C41=T96,U96,IF(C41=T97,U97,IF(C41=T98,U98,IF(C41=T99,U99,IF(C41=T100,U100,IF(C41=T101,U101,IF(C41=T102,U102,IF(C41=T103,U103,IF(C41=T104,U104,IF(C41=T105,U105,IF(C41=T106,U106,0))))))))))))))))))))</f>
        <v>0</v>
      </c>
      <c r="F41" s="17">
        <f t="shared" si="1"/>
        <v>0</v>
      </c>
      <c r="G41" s="17">
        <f t="shared" si="0"/>
        <v>0</v>
      </c>
    </row>
    <row r="42" spans="2:9" ht="15" customHeight="1" x14ac:dyDescent="0.25">
      <c r="B42" s="216" t="s">
        <v>191</v>
      </c>
      <c r="C42" s="217"/>
      <c r="D42" s="18">
        <f>IF(B42=S108,T108,IF(B42=S109,T109,IF(B42=S110,T110,IF(B42=S111,T111,IF(B42=S112,T112,IF(B42=S113,T113,IF(B42=S114,T114,IF(B42=S115,T115,IF(B42=S116,T116,IF(B42=S117,T117,IF(B42=S118,T118,IF(B42=S119,T119,IF(B42=S120,T120,IF(B42=S121,T121,IF(B42=S122,T122,IF(B42=S123,T123,0))))))))))))))))</f>
        <v>0</v>
      </c>
      <c r="E42" s="18">
        <f>IF(C42=T108,U108,IF(C42=T109,U109,IF(C42=T110,U110,IF(C42=T111,U111,IF(C42=T112,U112,IF(C42=T113,U113,IF(C42=T114,U114,IF(C42=T115,U115,IF(C42=T116,U116,IF(C42=T117,U117,IF(C42=T118,U118,IF(C42=T119,U119,IF(C42=T120,U120,IF(C42=T121,U121,IF(C42=T122,U122,IF(C42=T123,U123,0))))))))))))))))</f>
        <v>0</v>
      </c>
      <c r="F42" s="17">
        <f t="shared" si="1"/>
        <v>0</v>
      </c>
      <c r="G42" s="17">
        <f t="shared" si="0"/>
        <v>0</v>
      </c>
    </row>
    <row r="43" spans="2:9" ht="15" customHeight="1" x14ac:dyDescent="0.25">
      <c r="B43" s="216" t="s">
        <v>216</v>
      </c>
      <c r="C43" s="217"/>
      <c r="D43" s="66"/>
      <c r="E43" s="17">
        <f t="shared" ref="E43" si="2">+(D43/30)*C$14</f>
        <v>0</v>
      </c>
      <c r="F43" s="17">
        <f t="shared" ref="F43" si="3">+D43</f>
        <v>0</v>
      </c>
      <c r="G43" s="17">
        <f t="shared" ref="G43" si="4">+(F43/30)*C$14</f>
        <v>0</v>
      </c>
    </row>
    <row r="44" spans="2:9" ht="15" customHeight="1" x14ac:dyDescent="0.25">
      <c r="B44" s="4" t="s">
        <v>45</v>
      </c>
      <c r="C44" s="5"/>
      <c r="D44" s="6">
        <f>SUM(D21:D43)</f>
        <v>3305.1700000000005</v>
      </c>
      <c r="E44" s="6">
        <f t="shared" ref="E44:G44" si="5">SUM(E21:E43)</f>
        <v>61.13999999999993</v>
      </c>
      <c r="F44" s="6">
        <f t="shared" si="5"/>
        <v>1285.3438888888891</v>
      </c>
      <c r="G44" s="6">
        <f t="shared" si="5"/>
        <v>2570.6877777777781</v>
      </c>
    </row>
    <row r="45" spans="2:9" ht="15" hidden="1" customHeight="1" x14ac:dyDescent="0.25">
      <c r="B45" s="11"/>
      <c r="C45" s="11"/>
      <c r="D45" s="11"/>
    </row>
    <row r="46" spans="2:9" ht="15" hidden="1" customHeight="1" x14ac:dyDescent="0.25">
      <c r="B46" s="163" t="s">
        <v>51</v>
      </c>
      <c r="C46" s="228" t="s">
        <v>121</v>
      </c>
      <c r="D46" s="228"/>
      <c r="E46" s="228"/>
      <c r="F46" s="228"/>
      <c r="G46" s="228"/>
      <c r="I46" s="63" t="s">
        <v>122</v>
      </c>
    </row>
    <row r="47" spans="2:9" ht="15" hidden="1" customHeight="1" x14ac:dyDescent="0.25">
      <c r="B47" s="7" t="s">
        <v>215</v>
      </c>
      <c r="C47" s="25"/>
      <c r="D47" s="12">
        <v>-6</v>
      </c>
      <c r="E47" s="18">
        <f t="shared" ref="E47" si="6">+(D47/30)*C$14</f>
        <v>-12</v>
      </c>
      <c r="F47" s="18">
        <f t="shared" ref="F47" si="7">IF(OR(C$5=P$91,C$5=P$92,C$5=P$93,C$5=P$95,C$5=P$96,C$5=P$97),(D47/20)*C$12,(D47/25)*C$12)</f>
        <v>-2.1</v>
      </c>
      <c r="G47" s="18">
        <f t="shared" ref="G47" si="8">+(F47/30)*C$14</f>
        <v>-4.2</v>
      </c>
      <c r="I47" s="60"/>
    </row>
    <row r="48" spans="2:9" ht="15" hidden="1" customHeight="1" x14ac:dyDescent="0.25">
      <c r="B48" s="16" t="str">
        <f>IF(C6=P67,"Derechos Pasivos","Contingencias Comunes: 4,7% y 23,6%")</f>
        <v>Derechos Pasivos</v>
      </c>
      <c r="C48" s="31" t="str">
        <f>IF(C6=P67," ","4,70%")</f>
        <v xml:space="preserve"> </v>
      </c>
      <c r="D48" s="12">
        <f>IF(OR(C6="interino",C6=P68),-D61*4.7%,IF($C$10="junio",-2*Retribuciones!P48,IF($C$10="diciembre",-2*Retribuciones!P48,-Retribuciones!P48)))</f>
        <v>-111.9</v>
      </c>
      <c r="E48" s="17">
        <f t="shared" ref="E48:E50" si="9">+(D48/30)*C$14</f>
        <v>-223.8</v>
      </c>
      <c r="F48" s="17">
        <f t="shared" ref="F48" si="10">IF(OR(C$5=P$91,C$5=P$92,C$5=P$93,C$5=P$95,C$5=P$96,C$5=P$97),(D48/20)*C$12,(D48/25)*C$12)</f>
        <v>-39.165000000000006</v>
      </c>
      <c r="G48" s="17">
        <f t="shared" ref="G48" si="11">+(F48/30)*C$14</f>
        <v>-78.330000000000013</v>
      </c>
      <c r="I48" s="67" t="str">
        <f>IF(OR(C6="interino",C6=P68),ROUND(-D61*23.6%,2)," ")</f>
        <v xml:space="preserve"> </v>
      </c>
    </row>
    <row r="49" spans="1:25" ht="15.75" hidden="1" x14ac:dyDescent="0.25">
      <c r="B49" s="7" t="str">
        <f>IF(OR(C6=P67,C6=P68),"MUFACE","Cuota Desempleo: 1,55% y 5,5%")</f>
        <v>MUFACE</v>
      </c>
      <c r="C49" s="31" t="str">
        <f>IF(C6=P69,"1,55%"," ")</f>
        <v xml:space="preserve"> </v>
      </c>
      <c r="D49" s="12">
        <f>IF(C6="interino",-D61*1.55%,IF($C$10="junio",-2*Retribuciones!P47,IF($C$10="diciembre",-2*Retribuciones!P47,-Retribuciones!P47)))</f>
        <v>-48.99</v>
      </c>
      <c r="E49" s="17">
        <f t="shared" si="9"/>
        <v>-97.98</v>
      </c>
      <c r="F49" s="17">
        <f>IF(OR(C$5=P$91,C$5=P$92,C$5=P$93,C$5=P$95,C$5=P$96,C$5=P$97),(D49/20)*C$12,(D49/25)*C$12)</f>
        <v>-17.1465</v>
      </c>
      <c r="G49" s="17">
        <f t="shared" ref="G49:G50" si="12">+(F49/30)*C$14</f>
        <v>-34.292999999999999</v>
      </c>
      <c r="I49" s="67" t="str">
        <f>IF(C6="interino",ROUND(-D61*5.5%,2)," ")</f>
        <v xml:space="preserve"> </v>
      </c>
    </row>
    <row r="50" spans="1:25" ht="15" hidden="1" customHeight="1" x14ac:dyDescent="0.25">
      <c r="B50" s="7" t="str">
        <f>IF(C6=P69,"Cuota Formación Profesional: 0,10% y 0,60%",IF(C6=P68,"Coeficiente reductor: 0,009 y 0,046"," "))</f>
        <v xml:space="preserve"> </v>
      </c>
      <c r="C50" s="65" t="str">
        <f>IF(C6=P69,"0,10%",IF(C6=P68,0.009," "))</f>
        <v xml:space="preserve"> </v>
      </c>
      <c r="D50" s="12">
        <f>IF(C6="interino",ROUND(-D61*0.1%,2),IF(C6=P68,0.009*-(+D48+I48),0))</f>
        <v>0</v>
      </c>
      <c r="E50" s="17">
        <f t="shared" si="9"/>
        <v>0</v>
      </c>
      <c r="F50" s="17">
        <f>IF(OR(C$5=P$91,C$5=P$92,C$5=P$93,C$5=P$95,C$5=P$96,C$5=P$97),(D50/20)*C$12,(D50/25)*C$12)</f>
        <v>0</v>
      </c>
      <c r="G50" s="17">
        <f t="shared" si="12"/>
        <v>0</v>
      </c>
      <c r="I50" s="67" t="str">
        <f>IF(C6="interino",ROUND(-D61*0.6%,2),IF(C6=P68,ROUND(0.046*-(+D48+I48),2)," "))</f>
        <v xml:space="preserve"> </v>
      </c>
    </row>
    <row r="51" spans="1:25" ht="15" hidden="1" customHeight="1" x14ac:dyDescent="0.25">
      <c r="B51" s="167" t="s">
        <v>50</v>
      </c>
      <c r="C51" s="165"/>
      <c r="D51" s="166">
        <f>+C16</f>
        <v>0.21317650164463875</v>
      </c>
      <c r="E51" s="17"/>
      <c r="F51" s="17"/>
      <c r="G51" s="17"/>
      <c r="I51" s="67"/>
    </row>
    <row r="52" spans="1:25" ht="15.75" hidden="1" x14ac:dyDescent="0.25">
      <c r="B52" s="61" t="s">
        <v>229</v>
      </c>
      <c r="D52" s="19">
        <f>-(+D44)*D51</f>
        <v>-704.58457794081073</v>
      </c>
      <c r="E52" s="17"/>
      <c r="F52" s="17"/>
      <c r="G52" s="17"/>
      <c r="I52" s="60"/>
      <c r="J52" s="159">
        <f>+I16</f>
        <v>0</v>
      </c>
      <c r="K52" s="160" t="str">
        <f>IF(C6="Interino",-J52*D44,"")</f>
        <v/>
      </c>
      <c r="L52" s="161" t="str">
        <f>IF(C6="Interino","Retención mensual de septiembre 2019","")</f>
        <v/>
      </c>
      <c r="M52" s="162"/>
      <c r="Q52" s="141"/>
      <c r="R52" s="141"/>
      <c r="S52" s="141"/>
      <c r="T52" s="141"/>
      <c r="U52" s="141"/>
      <c r="V52" s="141"/>
      <c r="W52" s="141"/>
      <c r="X52" s="142"/>
    </row>
    <row r="53" spans="1:25" ht="15" hidden="1" customHeight="1" x14ac:dyDescent="0.25">
      <c r="A53" s="2"/>
      <c r="B53" s="2"/>
      <c r="C53" s="2"/>
      <c r="D53" s="2"/>
      <c r="E53" s="2"/>
    </row>
    <row r="54" spans="1:25" ht="15.75" hidden="1" x14ac:dyDescent="0.25">
      <c r="B54" s="4" t="s">
        <v>46</v>
      </c>
      <c r="C54" s="5"/>
      <c r="D54" s="20">
        <f>SUM(D47:D52)</f>
        <v>-871.26140143916609</v>
      </c>
      <c r="E54" s="20">
        <f>SUM(E47:E52)</f>
        <v>-333.78000000000003</v>
      </c>
      <c r="F54" s="20">
        <f t="shared" ref="F54:G54" si="13">SUM(F47:F52)</f>
        <v>-58.411500000000004</v>
      </c>
      <c r="G54" s="20">
        <f t="shared" si="13"/>
        <v>-116.82300000000001</v>
      </c>
      <c r="K54" s="20" t="str">
        <f>IF(C6="Interino",SUM(D47:D50)+K52,"")</f>
        <v/>
      </c>
    </row>
    <row r="55" spans="1:25" ht="15" hidden="1" customHeight="1" x14ac:dyDescent="0.25">
      <c r="D55" s="2"/>
      <c r="J55" s="2"/>
    </row>
    <row r="56" spans="1:25" ht="15" hidden="1" customHeight="1" x14ac:dyDescent="0.25">
      <c r="B56" s="8" t="s">
        <v>197</v>
      </c>
      <c r="C56" s="9"/>
      <c r="D56" s="10">
        <f>+D44+D54</f>
        <v>2433.9085985608344</v>
      </c>
      <c r="E56" s="10">
        <f t="shared" ref="E56:G56" si="14">+E44+E54</f>
        <v>-272.6400000000001</v>
      </c>
      <c r="F56" s="10">
        <f t="shared" si="14"/>
        <v>1226.9323888888891</v>
      </c>
      <c r="G56" s="10">
        <f t="shared" si="14"/>
        <v>2453.8647777777783</v>
      </c>
      <c r="K56" s="10" t="str">
        <f>IF(C6="Interino",+D44+K54,"")</f>
        <v/>
      </c>
      <c r="Q56" s="141"/>
      <c r="R56" s="141"/>
      <c r="S56" s="141"/>
      <c r="T56" s="141"/>
      <c r="U56" s="141"/>
      <c r="V56" s="141"/>
      <c r="W56" s="141"/>
      <c r="X56" s="142"/>
    </row>
    <row r="57" spans="1:25" ht="3.75" hidden="1" customHeight="1" x14ac:dyDescent="0.25">
      <c r="A57" s="26"/>
      <c r="B57" s="26"/>
      <c r="C57" s="26"/>
      <c r="D57" s="26"/>
    </row>
    <row r="58" spans="1:25" ht="15.75" hidden="1" x14ac:dyDescent="0.25">
      <c r="A58" s="26"/>
      <c r="B58" s="192" t="s">
        <v>198</v>
      </c>
      <c r="C58" s="193"/>
      <c r="D58" s="27">
        <f>+Retribuciones!P54+((D39+D40+D41+D42+D43)*12)</f>
        <v>44336.788</v>
      </c>
      <c r="Q58" s="141"/>
      <c r="R58" s="141"/>
      <c r="S58" s="141"/>
      <c r="T58" s="141"/>
      <c r="U58" s="141"/>
      <c r="V58" s="141"/>
      <c r="W58" s="141"/>
      <c r="X58" s="141"/>
      <c r="Y58" s="142"/>
    </row>
    <row r="59" spans="1:25" ht="15.75" hidden="1" x14ac:dyDescent="0.25">
      <c r="A59" s="26"/>
      <c r="B59" s="192" t="str">
        <f>IF(C6="carrera (anterior a 1 enero 2011)","Derechos Pasivos, MUFACE y Cuota sindical",IF(C6="Carrera (posterior a 1 enero 2011)","MUFACE, Seguridad Social (contingentes comunes) y Cuota sindical.","Seguridad Social y Cuota sindical"))</f>
        <v>Derechos Pasivos, MUFACE y Cuota sindical</v>
      </c>
      <c r="C59" s="193"/>
      <c r="D59" s="27">
        <f>IF(C6="carrera (anterior a 1 enero 2011)",(-(Retribuciones!P47+Retribuciones!P48)*14)+(D47*12),IF(C6="Carrera (posterior a 1 enero 2011)",((D48+D50)*12)+(D49*14),-(D58*6.35%)-(D47*12)))</f>
        <v>-2324.46</v>
      </c>
    </row>
    <row r="60" spans="1:25" ht="15.75" hidden="1" x14ac:dyDescent="0.25">
      <c r="A60" s="26"/>
      <c r="B60" s="26"/>
      <c r="C60" s="26"/>
      <c r="D60" s="26"/>
    </row>
    <row r="61" spans="1:25" ht="15.75" hidden="1" x14ac:dyDescent="0.25">
      <c r="A61" s="26"/>
      <c r="B61" s="4" t="str">
        <f>IF(OR(C6="interino",C6=P68),"Base cotización Seguridad Sociar"," ")</f>
        <v xml:space="preserve"> </v>
      </c>
      <c r="C61" s="28"/>
      <c r="D61" s="27" t="str">
        <f>IF(OR(C6="interino",C6=P68),+D58/12," ")</f>
        <v xml:space="preserve"> </v>
      </c>
    </row>
    <row r="62" spans="1:25" ht="12.95" customHeight="1" x14ac:dyDescent="0.25">
      <c r="A62" s="26"/>
      <c r="B62" s="26"/>
      <c r="C62" s="26"/>
      <c r="D62" s="26"/>
    </row>
    <row r="63" spans="1:25" ht="18" customHeight="1" x14ac:dyDescent="0.25">
      <c r="B63" s="213" t="s">
        <v>176</v>
      </c>
      <c r="C63" s="214"/>
      <c r="D63" s="215"/>
      <c r="N63" s="2"/>
    </row>
    <row r="64" spans="1:25" ht="18" customHeight="1" x14ac:dyDescent="0.25"/>
    <row r="66" spans="13:20" ht="12.95" customHeight="1" x14ac:dyDescent="0.25">
      <c r="M66" s="2"/>
    </row>
    <row r="67" spans="13:20" ht="12.95" customHeight="1" x14ac:dyDescent="0.25">
      <c r="N67" s="1">
        <v>0</v>
      </c>
      <c r="P67" s="40" t="s">
        <v>131</v>
      </c>
      <c r="S67" s="135" t="str">
        <f>+Retribuciones!AU24</f>
        <v>Otros complementos: Cargos directivos de CEIP, CEEE, EEI, CEPA, CER</v>
      </c>
      <c r="T67" s="42"/>
    </row>
    <row r="68" spans="13:20" ht="12.95" customHeight="1" x14ac:dyDescent="0.25">
      <c r="N68" s="1">
        <v>1</v>
      </c>
      <c r="P68" s="40" t="s">
        <v>132</v>
      </c>
      <c r="S68" s="131" t="str">
        <f>+Retribuciones!AU25</f>
        <v>Director/ra CEIP, CEP, CEEE, EEI, CEPA. Coordinador CER. Tipo A (Más de 35 Unidades)</v>
      </c>
      <c r="T68" s="106">
        <f>+Retribuciones!AV25</f>
        <v>552.33000000000004</v>
      </c>
    </row>
    <row r="69" spans="13:20" ht="12.95" customHeight="1" x14ac:dyDescent="0.25">
      <c r="N69" s="1">
        <v>2</v>
      </c>
      <c r="P69" s="40" t="s">
        <v>57</v>
      </c>
      <c r="S69" s="131" t="str">
        <f>+Retribuciones!AU26</f>
        <v>Director/ra CEIP, CEP, CEEE, EEI, CEPA. Coordinador CER. Tipo B (27 a 35 Unidades)</v>
      </c>
      <c r="T69" s="106">
        <f>+Retribuciones!AV26</f>
        <v>503.95</v>
      </c>
    </row>
    <row r="70" spans="13:20" ht="12.95" customHeight="1" x14ac:dyDescent="0.25">
      <c r="M70" s="1" t="s">
        <v>47</v>
      </c>
      <c r="N70" s="1">
        <v>3</v>
      </c>
      <c r="S70" s="131" t="str">
        <f>+Retribuciones!AU27</f>
        <v>Director/ra CEIP, CEP, CEEE, EEI, CEPA. Coordinador CER. Tipo C (18 a 26 Unidades)</v>
      </c>
      <c r="T70" s="106">
        <f>+Retribuciones!AV27</f>
        <v>380.02</v>
      </c>
    </row>
    <row r="71" spans="13:20" ht="12.95" customHeight="1" x14ac:dyDescent="0.25">
      <c r="M71" s="1" t="s">
        <v>43</v>
      </c>
      <c r="N71" s="1">
        <v>4</v>
      </c>
      <c r="S71" s="132" t="str">
        <f>+Retribuciones!AU28</f>
        <v>Director/ra CEIP, CEP, CEEE, EEI, CEPA. Coordinador CER. Tipo D (9 a 17 Unidades)</v>
      </c>
      <c r="T71" s="106">
        <f>+Retribuciones!AV28</f>
        <v>289.17</v>
      </c>
    </row>
    <row r="72" spans="13:20" ht="12.95" customHeight="1" x14ac:dyDescent="0.25">
      <c r="N72" s="1">
        <v>5</v>
      </c>
      <c r="P72" s="41" t="s">
        <v>60</v>
      </c>
      <c r="S72" s="132" t="str">
        <f>+Retribuciones!AU29</f>
        <v>Director/ra CEIP, CEP, CEEE, EEI, CEPA. Coordinador CER. Tipo E (6 a 8 Unidades)</v>
      </c>
      <c r="T72" s="106">
        <f>+Retribuciones!AV29</f>
        <v>195.95</v>
      </c>
    </row>
    <row r="73" spans="13:20" ht="12.95" customHeight="1" x14ac:dyDescent="0.25">
      <c r="M73" s="1" t="s">
        <v>43</v>
      </c>
      <c r="N73" s="1">
        <v>6</v>
      </c>
      <c r="P73" s="41" t="s">
        <v>200</v>
      </c>
      <c r="S73" s="132" t="str">
        <f>+Retribuciones!AU30</f>
        <v>Director/ra CEIP, CEP, CEEE, EEI, CEPA. Coordinador CER. Tipo F (1 a 5 Unidades)</v>
      </c>
      <c r="T73" s="106">
        <f>+Retribuciones!AV30</f>
        <v>122.79</v>
      </c>
    </row>
    <row r="74" spans="13:20" ht="12.95" customHeight="1" x14ac:dyDescent="0.25">
      <c r="M74" s="1" t="s">
        <v>48</v>
      </c>
      <c r="N74" s="1">
        <v>7</v>
      </c>
      <c r="P74" s="41" t="s">
        <v>58</v>
      </c>
      <c r="S74" s="131" t="str">
        <f>+Retribuciones!AU31</f>
        <v>J. Estudios. CEIP, CEP, CEEE, EEI, CEPA. Tipo A (Más de 35 Unidades)</v>
      </c>
      <c r="T74" s="106">
        <f>+Retribuciones!AV31</f>
        <v>226.63</v>
      </c>
    </row>
    <row r="75" spans="13:20" ht="12.95" customHeight="1" x14ac:dyDescent="0.25">
      <c r="M75" s="1" t="s">
        <v>49</v>
      </c>
      <c r="N75" s="1">
        <v>8</v>
      </c>
      <c r="P75" s="41" t="s">
        <v>59</v>
      </c>
      <c r="S75" s="131" t="str">
        <f>+Retribuciones!AU32</f>
        <v>J. Estudios. CEIP, CEP, CEEE, EEI, CEPA. Tipo B (27 a 35 Unidades)</v>
      </c>
      <c r="T75" s="106">
        <f>+Retribuciones!AV32</f>
        <v>217.2</v>
      </c>
    </row>
    <row r="76" spans="13:20" ht="12.95" customHeight="1" x14ac:dyDescent="0.25">
      <c r="M76" s="1" t="s">
        <v>135</v>
      </c>
      <c r="N76" s="1">
        <v>9</v>
      </c>
      <c r="P76" s="41" t="s">
        <v>201</v>
      </c>
      <c r="S76" s="132" t="str">
        <f>+Retribuciones!AU33</f>
        <v>J. Estudios. CEIP, CEP, CEEE, EEI, CEPA. Tipo C (18 a 26 Unidades)</v>
      </c>
      <c r="T76" s="106">
        <f>+Retribuciones!AV33</f>
        <v>203.02</v>
      </c>
    </row>
    <row r="77" spans="13:20" ht="12.95" customHeight="1" x14ac:dyDescent="0.25">
      <c r="N77" s="1">
        <v>10</v>
      </c>
      <c r="P77" s="41" t="s">
        <v>61</v>
      </c>
      <c r="S77" s="131" t="str">
        <f>+Retribuciones!AU34</f>
        <v>J. Estudios. CEIP, CEP, CEEE, EEI, CEPA. Tipo D (9 a 17 Unidades)</v>
      </c>
      <c r="T77" s="106">
        <f>+Retribuciones!AV34</f>
        <v>158.16999999999999</v>
      </c>
    </row>
    <row r="78" spans="13:20" ht="12.95" customHeight="1" x14ac:dyDescent="0.25">
      <c r="N78" s="1">
        <v>11</v>
      </c>
      <c r="P78" s="41" t="s">
        <v>202</v>
      </c>
      <c r="S78" s="132" t="str">
        <f>+Retribuciones!AU35</f>
        <v>Secretario/a. CEIP, CEP, CEEE, EEI, CEPA. Tipo A (Más de 35 Unidades)</v>
      </c>
      <c r="T78" s="106">
        <f>+Retribuciones!AV35</f>
        <v>226.63</v>
      </c>
    </row>
    <row r="79" spans="13:20" ht="12.95" customHeight="1" x14ac:dyDescent="0.25">
      <c r="N79" s="1">
        <v>12</v>
      </c>
      <c r="P79" s="41" t="s">
        <v>203</v>
      </c>
      <c r="S79" s="131" t="str">
        <f>+Retribuciones!AU36</f>
        <v>Secretario/a. CEIP, CEP, CEEE, EEI, CEPA. Tipo B (27 a 35 Unidades)</v>
      </c>
      <c r="T79" s="106">
        <f>+Retribuciones!AV36</f>
        <v>217.2</v>
      </c>
    </row>
    <row r="80" spans="13:20" ht="12.95" customHeight="1" x14ac:dyDescent="0.25">
      <c r="N80" s="1">
        <v>13</v>
      </c>
      <c r="P80" s="41" t="s">
        <v>204</v>
      </c>
      <c r="S80" s="131" t="str">
        <f>+Retribuciones!AU37</f>
        <v>Secretario/a. CEIP, CEP, CEEE, EEI, CEPA. Tipo C (18 a 26 Unidades)</v>
      </c>
      <c r="T80" s="106">
        <f>+Retribuciones!AV37</f>
        <v>203.02</v>
      </c>
    </row>
    <row r="81" spans="14:20" ht="12.95" customHeight="1" x14ac:dyDescent="0.25">
      <c r="N81" s="1">
        <v>14</v>
      </c>
      <c r="P81" s="41" t="s">
        <v>205</v>
      </c>
      <c r="S81" s="131" t="str">
        <f>+Retribuciones!AU38</f>
        <v>Secretario/a. CEIP, CEP, CEEE, EEI, CEPA. Tipo D (9 a 17 Unidades)</v>
      </c>
      <c r="T81" s="106">
        <f>+Retribuciones!AV38</f>
        <v>158.16999999999999</v>
      </c>
    </row>
    <row r="82" spans="14:20" ht="12.95" customHeight="1" x14ac:dyDescent="0.25">
      <c r="N82" s="1">
        <v>15</v>
      </c>
      <c r="P82" s="41" t="s">
        <v>62</v>
      </c>
      <c r="S82" s="131" t="str">
        <f>+Retribuciones!AU39</f>
        <v>Secretario/a. CEIP, CEP, CEEE, EEI, CEPA. Tipo E (6 a 8 Unidades)</v>
      </c>
      <c r="T82" s="106">
        <f>+Retribuciones!AV39</f>
        <v>106.25</v>
      </c>
    </row>
    <row r="83" spans="14:20" ht="12.95" customHeight="1" x14ac:dyDescent="0.25">
      <c r="N83" s="1">
        <v>16</v>
      </c>
      <c r="P83" s="41" t="s">
        <v>206</v>
      </c>
      <c r="S83" s="131" t="str">
        <f>+Retribuciones!AU40</f>
        <v>Vicedirector/ra. CEIP, CEP, CEEE, EEI Tipo A (Más de 35 Unidades)</v>
      </c>
      <c r="T83" s="106">
        <f>+Retribuciones!AV40</f>
        <v>226.63</v>
      </c>
    </row>
    <row r="84" spans="14:20" ht="12.95" customHeight="1" x14ac:dyDescent="0.25">
      <c r="N84" s="1">
        <v>17</v>
      </c>
      <c r="P84" s="41" t="s">
        <v>63</v>
      </c>
      <c r="S84" s="131" t="str">
        <f>+Retribuciones!AU41</f>
        <v>Vicedirector/ra. CEIP, CEP, CEEE, EEI Tipo B (27 a 35 Unidades)</v>
      </c>
      <c r="T84" s="106">
        <f>+Retribuciones!AV41</f>
        <v>217.2</v>
      </c>
    </row>
    <row r="85" spans="14:20" ht="12.95" customHeight="1" x14ac:dyDescent="0.25">
      <c r="N85" s="1">
        <v>18</v>
      </c>
      <c r="P85" s="41" t="s">
        <v>64</v>
      </c>
      <c r="S85" s="132" t="str">
        <f>+Retribuciones!AU42</f>
        <v>Vicedirector/ra. CEIP, CEP, CEEE, EEI Tipo C (18 a 26 Unidades)</v>
      </c>
      <c r="T85" s="106">
        <f>+Retribuciones!AV42</f>
        <v>203.02</v>
      </c>
    </row>
    <row r="86" spans="14:20" ht="12.95" customHeight="1" x14ac:dyDescent="0.25">
      <c r="N86" s="1">
        <v>19</v>
      </c>
      <c r="P86" s="41" t="s">
        <v>207</v>
      </c>
      <c r="S86" s="135" t="str">
        <f>+Retribuciones!AU43</f>
        <v>Otros complementos: Cargos directivos de IES, CEO, EA</v>
      </c>
      <c r="T86" s="42"/>
    </row>
    <row r="87" spans="14:20" ht="12.95" customHeight="1" x14ac:dyDescent="0.25">
      <c r="N87" s="1">
        <v>20</v>
      </c>
      <c r="P87" s="41" t="s">
        <v>65</v>
      </c>
      <c r="S87" s="133" t="str">
        <f>+Retribuciones!AU44</f>
        <v>Director/ra IES, CEO, EA. Centro Tipo A (1650 o más Alumnos)</v>
      </c>
      <c r="T87" s="106">
        <f>+Retribuciones!AV44</f>
        <v>694.21</v>
      </c>
    </row>
    <row r="88" spans="14:20" ht="12.95" customHeight="1" x14ac:dyDescent="0.25">
      <c r="N88" s="1">
        <v>21</v>
      </c>
      <c r="P88" s="41" t="s">
        <v>208</v>
      </c>
      <c r="S88" s="133" t="str">
        <f>+Retribuciones!AU45</f>
        <v>Director/ra IES, CEO, EA. Centro Tipo B (de 901 a 1649 Alumnos)</v>
      </c>
      <c r="T88" s="106">
        <f>+Retribuciones!AV45</f>
        <v>617.52</v>
      </c>
    </row>
    <row r="89" spans="14:20" ht="12.95" customHeight="1" x14ac:dyDescent="0.25">
      <c r="N89" s="1">
        <v>22</v>
      </c>
      <c r="S89" s="133" t="str">
        <f>+Retribuciones!AU46</f>
        <v>Director/ra IES, CEO, EA. Centro Tipo C (de 581 a 900 Alumnos)</v>
      </c>
      <c r="T89" s="106">
        <f>+Retribuciones!AV46</f>
        <v>556.11</v>
      </c>
    </row>
    <row r="90" spans="14:20" ht="12.95" customHeight="1" x14ac:dyDescent="0.25">
      <c r="N90" s="1">
        <v>23</v>
      </c>
      <c r="S90" s="133" t="str">
        <f>+Retribuciones!AU47</f>
        <v>Director/ra IES, CEO, EA. Centro Tipo D (hasta 580 Alumnos)</v>
      </c>
      <c r="T90" s="106">
        <f>+Retribuciones!AV47</f>
        <v>506.51</v>
      </c>
    </row>
    <row r="91" spans="14:20" ht="12.95" customHeight="1" x14ac:dyDescent="0.25">
      <c r="N91" s="1">
        <v>24</v>
      </c>
      <c r="P91" s="40" t="s">
        <v>71</v>
      </c>
      <c r="S91" s="133" t="str">
        <f>+Retribuciones!AU48</f>
        <v>Jefe Estudios IES, CEO, EA. Centro Tipo A (1650 o más Alumnos)</v>
      </c>
      <c r="T91" s="106">
        <f>+Retribuciones!AV48</f>
        <v>341.26</v>
      </c>
    </row>
    <row r="92" spans="14:20" ht="12.95" customHeight="1" x14ac:dyDescent="0.25">
      <c r="N92" s="1">
        <v>25</v>
      </c>
      <c r="P92" s="40" t="s">
        <v>72</v>
      </c>
      <c r="S92" s="134" t="str">
        <f>+Retribuciones!AU49</f>
        <v>Jefe Estudios IES, CEO, EA. Centro Tipo B (de 901 a 1649 Alumnos)</v>
      </c>
      <c r="T92" s="106">
        <f>+Retribuciones!AV49</f>
        <v>327.08</v>
      </c>
    </row>
    <row r="93" spans="14:20" ht="12.95" customHeight="1" x14ac:dyDescent="0.25">
      <c r="N93" s="1">
        <v>26</v>
      </c>
      <c r="P93" s="40" t="s">
        <v>73</v>
      </c>
      <c r="S93" s="134" t="str">
        <f>+Retribuciones!AU50</f>
        <v>Jefe Estudios IES, CEO, EA. Centro Tipo C (de 581 a 900 Alumnos)</v>
      </c>
      <c r="T93" s="106">
        <f>+Retribuciones!AV50</f>
        <v>253.87</v>
      </c>
    </row>
    <row r="94" spans="14:20" ht="12.95" customHeight="1" x14ac:dyDescent="0.25">
      <c r="N94" s="1">
        <v>27</v>
      </c>
      <c r="P94" s="40" t="s">
        <v>74</v>
      </c>
      <c r="S94" s="134" t="str">
        <f>+Retribuciones!AU51</f>
        <v>Jefe Estudios IES, CEO, EA. Centro Tipo D (hasta 580 Alumnos)</v>
      </c>
      <c r="T94" s="106">
        <f>+Retribuciones!AV51</f>
        <v>203.12</v>
      </c>
    </row>
    <row r="95" spans="14:20" ht="12.95" customHeight="1" x14ac:dyDescent="0.25">
      <c r="N95" s="1">
        <v>28</v>
      </c>
      <c r="P95" s="40" t="s">
        <v>75</v>
      </c>
      <c r="S95" s="134" t="str">
        <f>+Retribuciones!AU52</f>
        <v>Secretario/a IES, CEO, EA. Centro Tipo A (1650 o más Alumnos)</v>
      </c>
      <c r="T95" s="106">
        <f>+Retribuciones!AV52</f>
        <v>341.26</v>
      </c>
    </row>
    <row r="96" spans="14:20" ht="12.95" customHeight="1" x14ac:dyDescent="0.25">
      <c r="N96" s="1">
        <v>29</v>
      </c>
      <c r="P96" s="40" t="s">
        <v>76</v>
      </c>
      <c r="S96" s="134" t="str">
        <f>+Retribuciones!AU53</f>
        <v>Secretario/a IES, CEO, EA. Centro Tipo B (de 901 a 1649 Alumnos)</v>
      </c>
      <c r="T96" s="106">
        <f>+Retribuciones!AV53</f>
        <v>327.08</v>
      </c>
    </row>
    <row r="97" spans="13:20" ht="12.95" customHeight="1" x14ac:dyDescent="0.25">
      <c r="N97" s="1">
        <v>30</v>
      </c>
      <c r="P97" s="40" t="s">
        <v>77</v>
      </c>
      <c r="S97" s="133" t="str">
        <f>+Retribuciones!AU54</f>
        <v>Secretario/a IES, CEO, EA. Centro Tipo C (de 581 a 900 Alumnos)</v>
      </c>
      <c r="T97" s="106">
        <f>+Retribuciones!AV54</f>
        <v>253.87</v>
      </c>
    </row>
    <row r="98" spans="13:20" ht="12.95" customHeight="1" x14ac:dyDescent="0.25">
      <c r="N98" s="1">
        <v>31</v>
      </c>
      <c r="P98" s="40" t="s">
        <v>78</v>
      </c>
      <c r="S98" s="133" t="str">
        <f>+Retribuciones!AU55</f>
        <v>Secretario/a IES, CEO, EA. Centro Tipo D (hasta 580 Alumnos)</v>
      </c>
      <c r="T98" s="106">
        <f>+Retribuciones!AV55</f>
        <v>203.12</v>
      </c>
    </row>
    <row r="99" spans="13:20" ht="12.95" customHeight="1" x14ac:dyDescent="0.25">
      <c r="N99" s="1">
        <v>32</v>
      </c>
      <c r="P99" s="40" t="s">
        <v>79</v>
      </c>
      <c r="S99" s="133" t="str">
        <f>+Retribuciones!AU56</f>
        <v>Vicedirector/ra IES, CEO, EA. Centro Tipo A (1650 o más Alumnos)</v>
      </c>
      <c r="T99" s="106">
        <f>+Retribuciones!AV56</f>
        <v>341.26</v>
      </c>
    </row>
    <row r="100" spans="13:20" ht="12.95" customHeight="1" x14ac:dyDescent="0.25">
      <c r="N100" s="1">
        <v>33</v>
      </c>
      <c r="S100" s="133" t="str">
        <f>+Retribuciones!AU57</f>
        <v>Vicedirector/ra IES, CEO, EA. Centro Tipo B (de 901 a 1649 Alumnos)</v>
      </c>
      <c r="T100" s="106">
        <f>+Retribuciones!AV57</f>
        <v>327.08</v>
      </c>
    </row>
    <row r="101" spans="13:20" ht="12.95" customHeight="1" x14ac:dyDescent="0.25">
      <c r="N101" s="1">
        <v>34</v>
      </c>
      <c r="P101" s="40" t="s">
        <v>223</v>
      </c>
      <c r="S101" s="133" t="str">
        <f>+Retribuciones!AU58</f>
        <v>Vicedirector/ra IES, CEO, EA. Centro Tipo C (de 581 a 900 Alumnos)</v>
      </c>
      <c r="T101" s="106">
        <f>+Retribuciones!AV58</f>
        <v>253.87</v>
      </c>
    </row>
    <row r="102" spans="13:20" ht="12.95" customHeight="1" x14ac:dyDescent="0.25">
      <c r="N102" s="1">
        <v>35</v>
      </c>
      <c r="P102" s="40" t="s">
        <v>224</v>
      </c>
      <c r="S102" s="133" t="str">
        <f>+Retribuciones!AU59</f>
        <v>Vicedirector/ra IES, CEO, EA. Centro Tipo D (hasta 580 Alumnos)</v>
      </c>
      <c r="T102" s="106">
        <f>+Retribuciones!AV59</f>
        <v>203.12</v>
      </c>
    </row>
    <row r="103" spans="13:20" ht="12.95" customHeight="1" x14ac:dyDescent="0.25">
      <c r="N103" s="1">
        <v>36</v>
      </c>
      <c r="S103" s="133" t="str">
        <f>+Retribuciones!AU60</f>
        <v>Jefe Estudios Adjunto IES, CEO, EA. Centro Tipo A (1650 o más Alumnos)</v>
      </c>
      <c r="T103" s="106">
        <f>+Retribuciones!AV60</f>
        <v>170.65</v>
      </c>
    </row>
    <row r="104" spans="13:20" ht="12.95" customHeight="1" x14ac:dyDescent="0.25">
      <c r="N104" s="1">
        <v>37</v>
      </c>
      <c r="S104" s="134" t="str">
        <f>+Retribuciones!AU61</f>
        <v>Jefe Estudios Adjunto IES, CEO, EA. Centro Tipo B (de 901 a 1649 Alumnos)</v>
      </c>
      <c r="T104" s="106">
        <f>+Retribuciones!AV61</f>
        <v>163.55000000000001</v>
      </c>
    </row>
    <row r="105" spans="13:20" ht="12.95" customHeight="1" x14ac:dyDescent="0.25">
      <c r="N105" s="1">
        <v>38</v>
      </c>
      <c r="S105" s="134" t="str">
        <f>+Retribuciones!AU62</f>
        <v>Jefe Estudios Adjunto IES, CEO, EA. Centro Tipo C (de 581 a 900 Alumnos)</v>
      </c>
      <c r="T105" s="106">
        <f>+Retribuciones!AV62</f>
        <v>126.98</v>
      </c>
    </row>
    <row r="106" spans="13:20" ht="12.95" customHeight="1" x14ac:dyDescent="0.25">
      <c r="N106" s="1">
        <v>39</v>
      </c>
      <c r="S106" s="134" t="str">
        <f>+Retribuciones!AU63</f>
        <v>Jefe Estudios Adjunto IES, CEO, EA. Centro Tipo D (hasta 580 Alumnos)</v>
      </c>
      <c r="T106" s="106">
        <f>+Retribuciones!AV63</f>
        <v>101.59</v>
      </c>
    </row>
    <row r="107" spans="13:20" ht="12.95" customHeight="1" x14ac:dyDescent="0.25">
      <c r="N107" s="1">
        <v>40</v>
      </c>
      <c r="S107" s="135" t="str">
        <f>+Retribuciones!AU64</f>
        <v>Otros complementos: Encargado comedor, Director Centro Profesores, RE, …..</v>
      </c>
      <c r="T107" s="42"/>
    </row>
    <row r="108" spans="13:20" ht="12.95" customHeight="1" x14ac:dyDescent="0.25">
      <c r="N108" s="1">
        <v>41</v>
      </c>
      <c r="S108" s="14" t="str">
        <f>+Retribuciones!AU65</f>
        <v>Encargado/a Comedor Gestión Directa. Módulo Hasta 100 comensales.</v>
      </c>
      <c r="T108" s="102">
        <f>+Retribuciones!AV65</f>
        <v>139.4</v>
      </c>
    </row>
    <row r="109" spans="13:20" ht="12.95" customHeight="1" x14ac:dyDescent="0.25">
      <c r="N109" s="1">
        <v>42</v>
      </c>
      <c r="S109" s="14" t="str">
        <f>+Retribuciones!AU66</f>
        <v>Encargado/a Comedor Gestión Directa. Módulo De 101 a 300 comensales.</v>
      </c>
      <c r="T109" s="102">
        <f>+Retribuciones!AV66</f>
        <v>147</v>
      </c>
    </row>
    <row r="110" spans="13:20" ht="12.95" customHeight="1" x14ac:dyDescent="0.25">
      <c r="M110" s="30"/>
      <c r="N110" s="1">
        <v>43</v>
      </c>
      <c r="S110" s="14" t="str">
        <f>+Retribuciones!AU67</f>
        <v>Encargado/a Comedor Gestión Directa. Módulo Más de 300 comensales.</v>
      </c>
      <c r="T110" s="102">
        <f>+Retribuciones!AV67</f>
        <v>157.80000000000001</v>
      </c>
    </row>
    <row r="111" spans="13:20" ht="12.95" customHeight="1" x14ac:dyDescent="0.25">
      <c r="N111" s="1">
        <v>44</v>
      </c>
      <c r="S111" s="14" t="str">
        <f>+Retribuciones!AU68</f>
        <v>Encargado/a Comedor Gestión Contratada. Módulo Hasta 100 comensales.</v>
      </c>
      <c r="T111" s="102">
        <f>+Retribuciones!AV68</f>
        <v>139.4</v>
      </c>
    </row>
    <row r="112" spans="13:20" ht="12.95" customHeight="1" x14ac:dyDescent="0.25">
      <c r="N112" s="1">
        <v>45</v>
      </c>
      <c r="S112" s="13" t="str">
        <f>+Retribuciones!AU69</f>
        <v>Encargado/a Comedor Gestión Contratada. Módulo De 101 a 300 comensales.</v>
      </c>
      <c r="T112" s="102">
        <f>+Retribuciones!AV69</f>
        <v>147</v>
      </c>
    </row>
    <row r="113" spans="14:20" ht="12.95" customHeight="1" x14ac:dyDescent="0.25">
      <c r="N113" s="1">
        <v>46</v>
      </c>
      <c r="S113" s="13" t="str">
        <f>+Retribuciones!AU70</f>
        <v>Encargado/a Comedor Gestión Contratada. Módulo Más de 300 comensales.</v>
      </c>
      <c r="T113" s="102">
        <f>+Retribuciones!AV70</f>
        <v>157.80000000000001</v>
      </c>
    </row>
    <row r="114" spans="14:20" ht="12.95" customHeight="1" x14ac:dyDescent="0.25">
      <c r="N114" s="1">
        <v>47</v>
      </c>
      <c r="S114" s="14" t="str">
        <f>+Retribuciones!AU71</f>
        <v>Director de Centros de Profesores</v>
      </c>
      <c r="T114" s="106">
        <f>+Retribuciones!AV71</f>
        <v>363.84</v>
      </c>
    </row>
    <row r="115" spans="14:20" ht="12.95" customHeight="1" x14ac:dyDescent="0.25">
      <c r="N115" s="1">
        <v>48</v>
      </c>
      <c r="S115" s="14" t="str">
        <f>+Retribuciones!AU72</f>
        <v>Director de Residencia Escolar Permanente</v>
      </c>
      <c r="T115" s="106">
        <f>+Retribuciones!AV72</f>
        <v>337.66</v>
      </c>
    </row>
    <row r="116" spans="14:20" ht="12.95" customHeight="1" x14ac:dyDescent="0.25">
      <c r="N116" s="1">
        <v>49</v>
      </c>
      <c r="S116" s="13" t="str">
        <f>+Retribuciones!AU73</f>
        <v>Director de Residencia Escolar</v>
      </c>
      <c r="T116" s="106">
        <f>+Retribuciones!AV73</f>
        <v>175.76</v>
      </c>
    </row>
    <row r="117" spans="14:20" ht="12.95" customHeight="1" x14ac:dyDescent="0.25">
      <c r="N117" s="1">
        <v>50</v>
      </c>
      <c r="S117" s="13" t="str">
        <f>+Retribuciones!AU74</f>
        <v>Maestros de Ocio con Residencia Permanente</v>
      </c>
      <c r="T117" s="107">
        <f>+Retribuciones!AV74</f>
        <v>152.47</v>
      </c>
    </row>
    <row r="118" spans="14:20" ht="12.95" customHeight="1" x14ac:dyDescent="0.25">
      <c r="N118" s="1">
        <v>51</v>
      </c>
      <c r="S118" s="13" t="str">
        <f>+Retribuciones!AU75</f>
        <v>Coordinador EOEP</v>
      </c>
      <c r="T118" s="106">
        <f>+Retribuciones!AV75</f>
        <v>105.85</v>
      </c>
    </row>
    <row r="119" spans="14:20" ht="12.95" customHeight="1" x14ac:dyDescent="0.25">
      <c r="N119" s="1">
        <v>52</v>
      </c>
      <c r="S119" s="13" t="str">
        <f>+Retribuciones!AU76</f>
        <v>Coordinador de Servicios Centrales. Tipo A1 (A)</v>
      </c>
      <c r="T119" s="109">
        <f>+Retribuciones!AV76</f>
        <v>411</v>
      </c>
    </row>
    <row r="120" spans="14:20" ht="12.95" customHeight="1" x14ac:dyDescent="0.25">
      <c r="N120" s="1">
        <v>53</v>
      </c>
      <c r="S120" s="13" t="str">
        <f>+Retribuciones!AU77</f>
        <v>Coordinador de Servicios Centrales. Tipo A2 (B)</v>
      </c>
      <c r="T120" s="109">
        <f>+Retribuciones!AV77</f>
        <v>233.46</v>
      </c>
    </row>
    <row r="121" spans="14:20" ht="12.95" customHeight="1" x14ac:dyDescent="0.25">
      <c r="N121" s="1">
        <v>54</v>
      </c>
      <c r="S121" s="13" t="str">
        <f>+Retribuciones!AU78</f>
        <v>Hora Lectiva Complementaria, Refuerzo Educativo. Grupo A1</v>
      </c>
      <c r="T121" s="109">
        <f>+Retribuciones!AV78</f>
        <v>20.65</v>
      </c>
    </row>
    <row r="122" spans="14:20" ht="12.95" customHeight="1" x14ac:dyDescent="0.25">
      <c r="N122" s="1">
        <v>55</v>
      </c>
      <c r="S122" s="13" t="str">
        <f>+Retribuciones!AU79</f>
        <v>Hora Lectiva Complementaria, Refuerzo Educativo. Grupo A2</v>
      </c>
      <c r="T122" s="109">
        <f>+Retribuciones!AV79</f>
        <v>17.57</v>
      </c>
    </row>
    <row r="123" spans="14:20" ht="12.95" customHeight="1" x14ac:dyDescent="0.25">
      <c r="N123" s="1">
        <v>56</v>
      </c>
      <c r="S123" s="14" t="str">
        <f>+Retribuciones!AU80</f>
        <v>Maestros de Primero y Segundo de Enseñanza Secundaria Obligatoria</v>
      </c>
      <c r="T123" s="109">
        <f>+Retribuciones!AV80</f>
        <v>79.42</v>
      </c>
    </row>
    <row r="124" spans="14:20" ht="12.95" customHeight="1" x14ac:dyDescent="0.25">
      <c r="N124" s="1">
        <v>57</v>
      </c>
      <c r="S124" s="135" t="str">
        <f>+Retribuciones!AU81</f>
        <v>Otros complementos: Tutoría, Jefe departamento, AICLE/PILE, Coordinación</v>
      </c>
      <c r="T124" s="42"/>
    </row>
    <row r="125" spans="14:20" ht="12.95" customHeight="1" x14ac:dyDescent="0.25">
      <c r="N125" s="1">
        <v>58</v>
      </c>
      <c r="S125" s="14" t="str">
        <f>+Retribuciones!AU82</f>
        <v>Jefe de Departamento</v>
      </c>
      <c r="T125" s="109">
        <f>+Retribuciones!AV82</f>
        <v>70.88</v>
      </c>
    </row>
    <row r="126" spans="14:20" ht="12.95" customHeight="1" x14ac:dyDescent="0.25">
      <c r="N126" s="1">
        <v>59</v>
      </c>
      <c r="S126" s="14" t="str">
        <f>+Retribuciones!AU83</f>
        <v>Tutoría</v>
      </c>
      <c r="T126" s="109">
        <f>+Retribuciones!AV83</f>
        <v>35</v>
      </c>
    </row>
    <row r="127" spans="14:20" ht="12.95" customHeight="1" x14ac:dyDescent="0.25">
      <c r="N127" s="1">
        <v>60</v>
      </c>
      <c r="S127" s="14" t="str">
        <f>+Retribuciones!AU84</f>
        <v>PILE. Impartición. Maestros lengua extranjera y Profesorado con B2</v>
      </c>
      <c r="T127" s="109">
        <f>+Retribuciones!AV84</f>
        <v>35</v>
      </c>
    </row>
    <row r="128" spans="14:20" ht="12.95" customHeight="1" x14ac:dyDescent="0.25">
      <c r="N128" s="1">
        <v>61</v>
      </c>
      <c r="S128" s="14" t="str">
        <f>+Retribuciones!AU85</f>
        <v>PILE. Impartición. Profesorado con C1 o C2</v>
      </c>
      <c r="T128" s="109">
        <f>+Retribuciones!AV85</f>
        <v>45</v>
      </c>
    </row>
    <row r="129" spans="14:20" ht="12.95" customHeight="1" x14ac:dyDescent="0.25">
      <c r="N129" s="1">
        <v>62</v>
      </c>
      <c r="S129" s="14" t="str">
        <f>+Retribuciones!AU86</f>
        <v>PILE. Coordinación. Nivel B2</v>
      </c>
      <c r="T129" s="109">
        <f>+Retribuciones!AV86</f>
        <v>45</v>
      </c>
    </row>
    <row r="130" spans="14:20" ht="12.95" customHeight="1" x14ac:dyDescent="0.25">
      <c r="N130" s="1">
        <v>63</v>
      </c>
      <c r="S130" s="14" t="str">
        <f>+Retribuciones!AU87</f>
        <v>PILE. Coordinación. Nivel C1 o C2</v>
      </c>
      <c r="T130" s="109">
        <f>+Retribuciones!AV87</f>
        <v>55</v>
      </c>
    </row>
    <row r="131" spans="14:20" ht="12.95" customHeight="1" x14ac:dyDescent="0.25">
      <c r="N131" s="1">
        <v>64</v>
      </c>
      <c r="S131" s="14" t="str">
        <f>+Retribuciones!AU88</f>
        <v>Coordinación en convivencia</v>
      </c>
      <c r="T131" s="109">
        <f>+Retribuciones!AV88</f>
        <v>30</v>
      </c>
    </row>
    <row r="132" spans="14:20" ht="12.95" customHeight="1" x14ac:dyDescent="0.25">
      <c r="N132" s="1">
        <v>65</v>
      </c>
      <c r="S132" s="14" t="str">
        <f>+Retribuciones!AU89</f>
        <v>Coordinación en prevención de riesgos laborales</v>
      </c>
      <c r="T132" s="109">
        <f>+Retribuciones!AV89</f>
        <v>30</v>
      </c>
    </row>
    <row r="133" spans="14:20" ht="12.95" customHeight="1" x14ac:dyDescent="0.25">
      <c r="N133" s="1">
        <v>66</v>
      </c>
      <c r="S133" s="14" t="str">
        <f>+Retribuciones!AU90</f>
        <v>Coordinación en tecnologías de la información y la comunicación (TIC)</v>
      </c>
      <c r="T133" s="109">
        <f>+Retribuciones!AV90</f>
        <v>30</v>
      </c>
    </row>
    <row r="134" spans="14:20" ht="12.95" customHeight="1" x14ac:dyDescent="0.25">
      <c r="N134" s="1">
        <v>67</v>
      </c>
      <c r="S134" s="135"/>
    </row>
    <row r="135" spans="14:20" ht="12.95" customHeight="1" x14ac:dyDescent="0.25">
      <c r="N135" s="1">
        <v>68</v>
      </c>
      <c r="S135" s="135"/>
    </row>
    <row r="136" spans="14:20" ht="12.95" customHeight="1" x14ac:dyDescent="0.25">
      <c r="N136" s="1">
        <v>69</v>
      </c>
    </row>
    <row r="137" spans="14:20" ht="12.95" customHeight="1" x14ac:dyDescent="0.25">
      <c r="N137" s="1">
        <v>70</v>
      </c>
    </row>
    <row r="138" spans="14:20" ht="12.95" customHeight="1" x14ac:dyDescent="0.25">
      <c r="N138" s="1">
        <v>71</v>
      </c>
    </row>
    <row r="139" spans="14:20" ht="12.95" customHeight="1" x14ac:dyDescent="0.25">
      <c r="N139" s="1">
        <v>72</v>
      </c>
    </row>
  </sheetData>
  <sheetProtection algorithmName="SHA-512" hashValue="K7nSnLsmtt+NbqNt/furbozU3ONEZwuHUuHTji18AWbygktAOktvt4IxZOVoDDRQNnBdy3NN4znHNOLLytLYjw==" saltValue="EDmo7pyx+y7JP+xymhtd7g==" spinCount="100000" sheet="1" selectLockedCells="1"/>
  <mergeCells count="29">
    <mergeCell ref="B63:D63"/>
    <mergeCell ref="B39:C39"/>
    <mergeCell ref="B40:C40"/>
    <mergeCell ref="C7:D7"/>
    <mergeCell ref="C9:D9"/>
    <mergeCell ref="C10:D10"/>
    <mergeCell ref="C11:D11"/>
    <mergeCell ref="C15:D15"/>
    <mergeCell ref="C16:D16"/>
    <mergeCell ref="B43:C43"/>
    <mergeCell ref="B59:C59"/>
    <mergeCell ref="B41:C41"/>
    <mergeCell ref="B42:C42"/>
    <mergeCell ref="C8:D8"/>
    <mergeCell ref="C46:G46"/>
    <mergeCell ref="C13:D13"/>
    <mergeCell ref="F5:G5"/>
    <mergeCell ref="E6:E11"/>
    <mergeCell ref="B58:C58"/>
    <mergeCell ref="C6:D6"/>
    <mergeCell ref="B1:E1"/>
    <mergeCell ref="B3:E3"/>
    <mergeCell ref="B2:E2"/>
    <mergeCell ref="C5:E5"/>
    <mergeCell ref="C12:D12"/>
    <mergeCell ref="C14:D14"/>
    <mergeCell ref="D18:G18"/>
    <mergeCell ref="D19:E19"/>
    <mergeCell ref="F19:G19"/>
  </mergeCells>
  <dataValidations xWindow="874" yWindow="233" count="11">
    <dataValidation type="list" allowBlank="1" showInputMessage="1" showErrorMessage="1" promptTitle="Nómina con Paga Extra" prompt=" " sqref="C65544" xr:uid="{00000000-0002-0000-0000-000000000000}">
      <formula1>#REF!</formula1>
    </dataValidation>
    <dataValidation type="list" allowBlank="1" showInputMessage="1" showErrorMessage="1" promptTitle="Destino en Isla No Capitalina" prompt=" " sqref="C65542" xr:uid="{00000000-0002-0000-0000-000001000000}">
      <formula1>#REF!</formula1>
    </dataValidation>
    <dataValidation type="list" allowBlank="1" showErrorMessage="1" promptTitle="DESTINO EN ISLA NO CAPITALINA" prompt="-Si se tienen destino en una isla capitalina, seleccionar = N_x000a_-Si se tiene destino en una isla no capitalina, seleccionar = S" sqref="C11" xr:uid="{00000000-0002-0000-0000-000002000000}">
      <formula1>$M$70:$M$71</formula1>
    </dataValidation>
    <dataValidation type="list" allowBlank="1" showErrorMessage="1" promptTitle="PRIMERO Y SEGUNDO DE LA ESO" prompt="Introducir lo que corresponda" sqref="C9" xr:uid="{00000000-0002-0000-0000-000003000000}">
      <formula1>$M$70:$M$71</formula1>
    </dataValidation>
    <dataValidation type="list" allowBlank="1" showInputMessage="1" showErrorMessage="1" sqref="C6:D6" xr:uid="{00000000-0002-0000-0000-000004000000}">
      <formula1>$P$67:$P$69</formula1>
    </dataValidation>
    <dataValidation type="list" allowBlank="1" showInputMessage="1" showErrorMessage="1" sqref="C5" xr:uid="{00000000-0002-0000-0000-000005000000}">
      <formula1>$P$91:$P$99</formula1>
    </dataValidation>
    <dataValidation type="list" allowBlank="1" showErrorMessage="1" promptTitle="NÓMINA CON PAGA EXTRA" prompt="- Si la nómina no incluye la paga extra, seleccionar = N_x000a_- Si la nómina incluye la paga extra de Junio, seleccionar = Junio_x000a_- Si la nómina incluye la paga extra de Diciembre, seleccionar = Diciembre" sqref="C10:D10" xr:uid="{00000000-0002-0000-0000-000006000000}">
      <formula1>$M$73:$M$76</formula1>
    </dataValidation>
    <dataValidation type="list" allowBlank="1" showInputMessage="1" showErrorMessage="1" sqref="B39:C39" xr:uid="{00000000-0002-0000-0000-000007000000}">
      <formula1>$S$124:$S$133</formula1>
    </dataValidation>
    <dataValidation type="list" allowBlank="1" showInputMessage="1" showErrorMessage="1" sqref="B41:C41" xr:uid="{00000000-0002-0000-0000-000008000000}">
      <formula1>$S$86:$S$106</formula1>
    </dataValidation>
    <dataValidation type="list" allowBlank="1" showInputMessage="1" showErrorMessage="1" sqref="B40:C40" xr:uid="{00000000-0002-0000-0000-000009000000}">
      <formula1>$S$67:$S$85</formula1>
    </dataValidation>
    <dataValidation type="list" allowBlank="1" showInputMessage="1" showErrorMessage="1" sqref="B42:C42" xr:uid="{00000000-0002-0000-0000-00000A000000}">
      <formula1>$S$107:$S$123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82F83-1E8D-440B-BA0E-0AD647A2A3BD}">
  <dimension ref="A1:O27"/>
  <sheetViews>
    <sheetView workbookViewId="0">
      <selection activeCell="D20" sqref="D20"/>
    </sheetView>
  </sheetViews>
  <sheetFormatPr baseColWidth="10" defaultRowHeight="15" x14ac:dyDescent="0.25"/>
  <cols>
    <col min="1" max="1" width="45" bestFit="1" customWidth="1"/>
    <col min="6" max="6" width="38" bestFit="1" customWidth="1"/>
    <col min="10" max="10" width="12.42578125" bestFit="1" customWidth="1"/>
  </cols>
  <sheetData>
    <row r="1" spans="1:13" x14ac:dyDescent="0.25">
      <c r="A1" t="s">
        <v>235</v>
      </c>
      <c r="B1" s="239">
        <v>1043.0899999999999</v>
      </c>
      <c r="C1">
        <v>4.72</v>
      </c>
      <c r="D1" s="239">
        <f>+B1+B12</f>
        <v>1203.56</v>
      </c>
      <c r="E1">
        <f>+D1-G1</f>
        <v>0</v>
      </c>
      <c r="F1" t="s">
        <v>2</v>
      </c>
      <c r="G1">
        <v>1203.56</v>
      </c>
      <c r="H1">
        <v>23.599999999999909</v>
      </c>
      <c r="J1" s="17">
        <v>1203.56</v>
      </c>
    </row>
    <row r="2" spans="1:13" x14ac:dyDescent="0.25">
      <c r="A2" t="s">
        <v>236</v>
      </c>
      <c r="B2" s="187">
        <v>401.44</v>
      </c>
      <c r="C2">
        <v>1.82</v>
      </c>
      <c r="D2" s="187">
        <f>+B2+B13</f>
        <v>463.2</v>
      </c>
      <c r="E2">
        <f t="shared" ref="E2:E22" si="0">+D2-G2</f>
        <v>0</v>
      </c>
      <c r="F2" t="s">
        <v>253</v>
      </c>
      <c r="G2">
        <v>463.2</v>
      </c>
      <c r="H2">
        <v>9.0999999999999659</v>
      </c>
      <c r="J2" s="18">
        <v>463.2</v>
      </c>
    </row>
    <row r="3" spans="1:13" x14ac:dyDescent="0.25">
      <c r="A3" t="s">
        <v>237</v>
      </c>
      <c r="B3" s="241">
        <v>371.35</v>
      </c>
      <c r="D3">
        <f>+B3</f>
        <v>371.35</v>
      </c>
      <c r="E3">
        <f t="shared" si="0"/>
        <v>0</v>
      </c>
      <c r="F3" t="s">
        <v>256</v>
      </c>
      <c r="G3">
        <v>371.35</v>
      </c>
      <c r="H3">
        <v>0</v>
      </c>
      <c r="J3" s="18">
        <v>371.35</v>
      </c>
    </row>
    <row r="4" spans="1:13" x14ac:dyDescent="0.25">
      <c r="A4" t="s">
        <v>238</v>
      </c>
      <c r="B4" s="241">
        <v>142.94999999999999</v>
      </c>
      <c r="D4">
        <f t="shared" ref="D4:D7" si="1">+B4</f>
        <v>142.94999999999999</v>
      </c>
      <c r="E4">
        <f t="shared" si="0"/>
        <v>0</v>
      </c>
      <c r="F4" t="s">
        <v>257</v>
      </c>
      <c r="G4">
        <v>142.94999999999999</v>
      </c>
      <c r="H4">
        <v>0</v>
      </c>
      <c r="J4" s="18">
        <v>142.94999999999999</v>
      </c>
    </row>
    <row r="5" spans="1:13" x14ac:dyDescent="0.25">
      <c r="A5" t="s">
        <v>239</v>
      </c>
      <c r="B5" s="241">
        <v>320.67</v>
      </c>
      <c r="D5">
        <f t="shared" si="1"/>
        <v>320.67</v>
      </c>
      <c r="E5">
        <f t="shared" si="0"/>
        <v>0</v>
      </c>
      <c r="F5" t="s">
        <v>258</v>
      </c>
      <c r="G5">
        <v>320.67</v>
      </c>
      <c r="H5">
        <v>0</v>
      </c>
      <c r="J5" s="18">
        <v>320.67</v>
      </c>
    </row>
    <row r="6" spans="1:13" x14ac:dyDescent="0.25">
      <c r="A6" t="s">
        <v>240</v>
      </c>
      <c r="B6" s="241">
        <v>49.09</v>
      </c>
      <c r="D6">
        <f t="shared" si="1"/>
        <v>49.09</v>
      </c>
      <c r="E6">
        <f t="shared" ref="E6" si="2">+D6-G6</f>
        <v>-98.174000000000007</v>
      </c>
      <c r="F6" t="s">
        <v>260</v>
      </c>
      <c r="G6">
        <v>147.26400000000001</v>
      </c>
      <c r="J6" s="18">
        <v>49.088000000000001</v>
      </c>
    </row>
    <row r="7" spans="1:13" x14ac:dyDescent="0.25">
      <c r="A7" t="s">
        <v>241</v>
      </c>
      <c r="B7" s="241">
        <v>183.84</v>
      </c>
      <c r="D7">
        <f t="shared" si="1"/>
        <v>183.84</v>
      </c>
      <c r="E7">
        <f t="shared" ref="E7" si="3">+D7-G7</f>
        <v>10.4512</v>
      </c>
      <c r="F7" t="s">
        <v>259</v>
      </c>
      <c r="G7">
        <v>173.3888</v>
      </c>
      <c r="J7" s="18">
        <v>173.3888</v>
      </c>
    </row>
    <row r="8" spans="1:13" x14ac:dyDescent="0.25">
      <c r="A8" t="s">
        <v>242</v>
      </c>
      <c r="B8" s="242">
        <v>122.54</v>
      </c>
      <c r="C8">
        <v>0.56000000000000005</v>
      </c>
      <c r="D8" s="242">
        <f>+B8+B14</f>
        <v>141.39000000000001</v>
      </c>
      <c r="E8">
        <f t="shared" si="0"/>
        <v>0</v>
      </c>
      <c r="F8" t="s">
        <v>254</v>
      </c>
      <c r="G8">
        <v>141.38999999999999</v>
      </c>
      <c r="H8">
        <v>2.7799999999999727</v>
      </c>
      <c r="J8" s="18">
        <v>141.38999999999999</v>
      </c>
    </row>
    <row r="9" spans="1:13" x14ac:dyDescent="0.25">
      <c r="A9" t="s">
        <v>243</v>
      </c>
      <c r="B9" s="243">
        <v>577.96</v>
      </c>
      <c r="C9">
        <v>2.62</v>
      </c>
      <c r="D9" s="243">
        <f>+B9+B16</f>
        <v>666.88</v>
      </c>
      <c r="E9">
        <f t="shared" si="0"/>
        <v>0</v>
      </c>
      <c r="F9" t="s">
        <v>195</v>
      </c>
      <c r="G9">
        <v>666.88</v>
      </c>
      <c r="H9">
        <v>13.080000000000041</v>
      </c>
      <c r="J9" s="18">
        <v>666.88</v>
      </c>
    </row>
    <row r="10" spans="1:13" x14ac:dyDescent="0.25">
      <c r="A10" t="s">
        <v>244</v>
      </c>
      <c r="B10" s="244">
        <v>555.83000000000004</v>
      </c>
      <c r="C10">
        <v>2.52</v>
      </c>
      <c r="D10" s="244">
        <f>+B10+B17</f>
        <v>641.34</v>
      </c>
      <c r="E10">
        <f t="shared" si="0"/>
        <v>0</v>
      </c>
      <c r="F10" t="s">
        <v>196</v>
      </c>
      <c r="G10">
        <v>641.34</v>
      </c>
      <c r="H10">
        <v>12.580000000000041</v>
      </c>
      <c r="J10" s="18">
        <v>641.34</v>
      </c>
    </row>
    <row r="11" spans="1:13" x14ac:dyDescent="0.25">
      <c r="A11" t="s">
        <v>245</v>
      </c>
      <c r="B11" s="240">
        <v>163.63</v>
      </c>
      <c r="D11" s="240">
        <f>+B11+B15</f>
        <v>188.8</v>
      </c>
      <c r="E11">
        <f t="shared" si="0"/>
        <v>0</v>
      </c>
      <c r="F11" t="s">
        <v>255</v>
      </c>
      <c r="G11">
        <v>188.8</v>
      </c>
      <c r="H11">
        <v>0</v>
      </c>
      <c r="J11" s="18">
        <v>188.8</v>
      </c>
    </row>
    <row r="12" spans="1:13" x14ac:dyDescent="0.25">
      <c r="A12" t="s">
        <v>246</v>
      </c>
      <c r="B12" s="239">
        <v>160.47</v>
      </c>
      <c r="C12">
        <v>18.88</v>
      </c>
      <c r="E12">
        <f t="shared" si="0"/>
        <v>0</v>
      </c>
      <c r="J12" s="18"/>
    </row>
    <row r="13" spans="1:13" x14ac:dyDescent="0.25">
      <c r="A13" t="s">
        <v>247</v>
      </c>
      <c r="B13" s="187">
        <v>61.76</v>
      </c>
      <c r="C13">
        <v>7.28</v>
      </c>
      <c r="E13">
        <f t="shared" si="0"/>
        <v>0</v>
      </c>
      <c r="J13" s="18"/>
    </row>
    <row r="14" spans="1:13" x14ac:dyDescent="0.25">
      <c r="A14" t="s">
        <v>248</v>
      </c>
      <c r="B14" s="242">
        <v>18.850000000000001</v>
      </c>
      <c r="C14">
        <v>2.2200000000000002</v>
      </c>
      <c r="E14">
        <f t="shared" si="0"/>
        <v>0</v>
      </c>
      <c r="J14" s="18"/>
    </row>
    <row r="15" spans="1:13" x14ac:dyDescent="0.25">
      <c r="A15" t="s">
        <v>249</v>
      </c>
      <c r="B15" s="240">
        <v>25.17</v>
      </c>
      <c r="E15">
        <f t="shared" si="0"/>
        <v>0</v>
      </c>
      <c r="J15" s="18"/>
    </row>
    <row r="16" spans="1:13" x14ac:dyDescent="0.25">
      <c r="A16" t="s">
        <v>250</v>
      </c>
      <c r="B16" s="243">
        <v>88.92</v>
      </c>
      <c r="C16">
        <v>10.46</v>
      </c>
      <c r="E16">
        <f t="shared" si="0"/>
        <v>0</v>
      </c>
      <c r="J16" s="18"/>
      <c r="M16">
        <v>520.16999999999996</v>
      </c>
    </row>
    <row r="17" spans="1:15" x14ac:dyDescent="0.25">
      <c r="A17" t="s">
        <v>251</v>
      </c>
      <c r="B17" s="244">
        <v>85.51</v>
      </c>
      <c r="C17">
        <v>10.06</v>
      </c>
      <c r="M17">
        <f>+M16/180</f>
        <v>2.8898333333333333</v>
      </c>
      <c r="O17">
        <f>70.88/30</f>
        <v>2.3626666666666667</v>
      </c>
    </row>
    <row r="18" spans="1:15" x14ac:dyDescent="0.25">
      <c r="A18" t="s">
        <v>252</v>
      </c>
      <c r="B18">
        <v>9.4499999999999993</v>
      </c>
      <c r="M18">
        <f>+M17*60</f>
        <v>173.39</v>
      </c>
      <c r="O18">
        <f>+O17*4</f>
        <v>9.4506666666666668</v>
      </c>
    </row>
    <row r="20" spans="1:15" x14ac:dyDescent="0.25">
      <c r="B20">
        <f>SUM(B1:B19)</f>
        <v>4382.5200000000004</v>
      </c>
      <c r="C20">
        <f>SUM(C1:C18)</f>
        <v>61.14</v>
      </c>
    </row>
    <row r="21" spans="1:15" x14ac:dyDescent="0.25">
      <c r="E21">
        <f t="shared" si="0"/>
        <v>0</v>
      </c>
    </row>
    <row r="22" spans="1:15" x14ac:dyDescent="0.25">
      <c r="E22">
        <f t="shared" si="0"/>
        <v>0</v>
      </c>
      <c r="G22">
        <v>0</v>
      </c>
      <c r="H22">
        <v>0</v>
      </c>
    </row>
    <row r="23" spans="1:15" x14ac:dyDescent="0.25">
      <c r="G23">
        <v>0</v>
      </c>
      <c r="H23">
        <v>0</v>
      </c>
    </row>
    <row r="24" spans="1:15" x14ac:dyDescent="0.25">
      <c r="G24">
        <v>0</v>
      </c>
      <c r="H24">
        <v>0</v>
      </c>
    </row>
    <row r="25" spans="1:15" x14ac:dyDescent="0.25">
      <c r="G25">
        <v>0</v>
      </c>
      <c r="H25">
        <v>0</v>
      </c>
    </row>
    <row r="26" spans="1:15" x14ac:dyDescent="0.25">
      <c r="H26">
        <v>0</v>
      </c>
    </row>
    <row r="27" spans="1:15" x14ac:dyDescent="0.25">
      <c r="G27">
        <v>4460.7928000000002</v>
      </c>
      <c r="H27">
        <v>61.13999999999993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6"/>
  <sheetViews>
    <sheetView workbookViewId="0">
      <selection activeCell="B17" sqref="B17"/>
    </sheetView>
  </sheetViews>
  <sheetFormatPr baseColWidth="10" defaultRowHeight="15" x14ac:dyDescent="0.25"/>
  <cols>
    <col min="1" max="1" width="82.85546875" style="42" customWidth="1"/>
    <col min="2" max="2" width="11.85546875" style="42" bestFit="1" customWidth="1"/>
    <col min="3" max="3" width="11.85546875" style="42" hidden="1" customWidth="1"/>
    <col min="4" max="4" width="1.85546875" style="42" hidden="1" customWidth="1"/>
    <col min="5" max="5" width="26.5703125" style="42" bestFit="1" customWidth="1"/>
    <col min="6" max="6" width="12.140625" style="42" bestFit="1" customWidth="1"/>
    <col min="7" max="7" width="10.7109375" style="42" customWidth="1"/>
    <col min="8" max="8" width="49.85546875" style="42" hidden="1" customWidth="1"/>
    <col min="9" max="9" width="0" style="42" hidden="1" customWidth="1"/>
    <col min="10" max="16384" width="11.42578125" style="42"/>
  </cols>
  <sheetData>
    <row r="1" spans="1:9" ht="15.75" x14ac:dyDescent="0.25">
      <c r="A1" s="232" t="s">
        <v>92</v>
      </c>
      <c r="B1" s="233"/>
      <c r="C1" s="233"/>
      <c r="D1" s="44"/>
      <c r="H1" s="43" t="s">
        <v>98</v>
      </c>
    </row>
    <row r="2" spans="1:9" ht="15.75" x14ac:dyDescent="0.25">
      <c r="A2" s="234" t="s">
        <v>93</v>
      </c>
      <c r="B2" s="234"/>
      <c r="C2" s="234"/>
      <c r="D2" s="44"/>
      <c r="H2" s="43" t="s">
        <v>130</v>
      </c>
    </row>
    <row r="3" spans="1:9" ht="5.25" customHeight="1" x14ac:dyDescent="0.25">
      <c r="A3" s="44"/>
      <c r="B3" s="44"/>
      <c r="C3" s="44"/>
      <c r="D3" s="44"/>
      <c r="H3" s="42">
        <v>0</v>
      </c>
    </row>
    <row r="4" spans="1:9" x14ac:dyDescent="0.25">
      <c r="A4" s="229" t="s">
        <v>94</v>
      </c>
      <c r="B4" s="229"/>
      <c r="C4" s="45" t="s">
        <v>95</v>
      </c>
      <c r="D4" s="44"/>
      <c r="H4" s="42">
        <v>1</v>
      </c>
    </row>
    <row r="5" spans="1:9" hidden="1" x14ac:dyDescent="0.25">
      <c r="A5" s="46" t="s">
        <v>96</v>
      </c>
      <c r="B5" s="47"/>
      <c r="C5" s="48">
        <v>5550</v>
      </c>
      <c r="D5" s="44"/>
      <c r="H5" s="42">
        <v>2</v>
      </c>
    </row>
    <row r="6" spans="1:9" x14ac:dyDescent="0.25">
      <c r="A6" s="230" t="s">
        <v>185</v>
      </c>
      <c r="B6" s="231"/>
      <c r="C6" s="48">
        <f>IF(A6=H17,I17,IF(A6=H18,I18,IF(A6=H19,I19+I18,0)))</f>
        <v>0</v>
      </c>
      <c r="D6" s="44"/>
      <c r="E6" s="129" t="s">
        <v>188</v>
      </c>
      <c r="F6" s="43"/>
      <c r="G6" s="43"/>
      <c r="H6" s="42">
        <v>3</v>
      </c>
    </row>
    <row r="7" spans="1:9" x14ac:dyDescent="0.25">
      <c r="A7" s="230" t="s">
        <v>184</v>
      </c>
      <c r="B7" s="231"/>
      <c r="C7" s="44"/>
      <c r="D7" s="44"/>
      <c r="E7" s="129" t="s">
        <v>188</v>
      </c>
      <c r="F7" s="43"/>
      <c r="G7" s="43"/>
      <c r="H7" s="42">
        <v>4</v>
      </c>
    </row>
    <row r="8" spans="1:9" ht="7.5" customHeight="1" x14ac:dyDescent="0.25">
      <c r="A8" s="44"/>
      <c r="B8" s="44"/>
      <c r="C8" s="44"/>
      <c r="D8" s="44"/>
      <c r="E8" s="43"/>
      <c r="F8" s="43"/>
      <c r="G8" s="43"/>
      <c r="H8" s="42">
        <v>5</v>
      </c>
    </row>
    <row r="9" spans="1:9" x14ac:dyDescent="0.25">
      <c r="A9" s="229" t="s">
        <v>100</v>
      </c>
      <c r="B9" s="229"/>
      <c r="C9" s="44"/>
      <c r="D9" s="44"/>
      <c r="E9" s="43"/>
      <c r="F9" s="43"/>
      <c r="G9" s="43"/>
      <c r="H9" s="42">
        <v>6</v>
      </c>
    </row>
    <row r="10" spans="1:9" x14ac:dyDescent="0.25">
      <c r="A10" s="49" t="s">
        <v>101</v>
      </c>
      <c r="B10" s="50" t="s">
        <v>98</v>
      </c>
      <c r="C10" s="44"/>
      <c r="D10" s="44"/>
      <c r="E10" s="129" t="s">
        <v>188</v>
      </c>
      <c r="F10" s="43"/>
      <c r="G10" s="43"/>
      <c r="H10" s="42">
        <v>7</v>
      </c>
    </row>
    <row r="11" spans="1:9" x14ac:dyDescent="0.25">
      <c r="A11" s="49" t="s">
        <v>102</v>
      </c>
      <c r="B11" s="51">
        <v>0</v>
      </c>
      <c r="C11" s="48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129" t="s">
        <v>188</v>
      </c>
      <c r="F11" s="43"/>
      <c r="G11" s="43"/>
      <c r="H11" s="42">
        <v>8</v>
      </c>
    </row>
    <row r="12" spans="1:9" x14ac:dyDescent="0.25">
      <c r="A12" s="49" t="s">
        <v>103</v>
      </c>
      <c r="B12" s="51">
        <v>0</v>
      </c>
      <c r="C12" s="68">
        <f>IF(B10="SI",+B12*2800,(+B12*2800)/2)</f>
        <v>0</v>
      </c>
      <c r="D12" s="44"/>
      <c r="E12" s="129" t="s">
        <v>188</v>
      </c>
      <c r="F12" s="43"/>
      <c r="G12" s="43"/>
    </row>
    <row r="13" spans="1:9" x14ac:dyDescent="0.25">
      <c r="A13" s="52" t="s">
        <v>104</v>
      </c>
      <c r="B13" s="51">
        <v>0</v>
      </c>
      <c r="C13" s="48">
        <f>IF(B10="SI",(B13*3000),(B13*3000)/2)</f>
        <v>0</v>
      </c>
      <c r="D13" s="44"/>
      <c r="E13" s="129" t="s">
        <v>188</v>
      </c>
      <c r="F13" s="43"/>
      <c r="G13" s="43"/>
      <c r="H13" s="43" t="s">
        <v>184</v>
      </c>
      <c r="I13" s="42">
        <v>0</v>
      </c>
    </row>
    <row r="14" spans="1:9" x14ac:dyDescent="0.25">
      <c r="A14" s="52" t="s">
        <v>105</v>
      </c>
      <c r="B14" s="51">
        <v>0</v>
      </c>
      <c r="C14" s="48">
        <f>IF(B10="SI",(B14*9000),(B14*9000)/2)</f>
        <v>0</v>
      </c>
      <c r="D14" s="44"/>
      <c r="E14" s="129" t="s">
        <v>188</v>
      </c>
      <c r="F14" s="43"/>
      <c r="G14" s="43"/>
      <c r="H14" s="43" t="s">
        <v>97</v>
      </c>
      <c r="I14" s="42">
        <v>3000</v>
      </c>
    </row>
    <row r="15" spans="1:9" ht="6" customHeight="1" x14ac:dyDescent="0.25">
      <c r="A15" s="53"/>
      <c r="B15" s="53"/>
      <c r="C15" s="53"/>
      <c r="D15" s="44"/>
      <c r="E15" s="43"/>
      <c r="F15" s="43"/>
      <c r="G15" s="43"/>
      <c r="H15" s="42" t="s">
        <v>99</v>
      </c>
      <c r="I15" s="42">
        <v>9000</v>
      </c>
    </row>
    <row r="16" spans="1:9" x14ac:dyDescent="0.25">
      <c r="A16" s="229" t="s">
        <v>106</v>
      </c>
      <c r="B16" s="229"/>
      <c r="C16" s="53"/>
      <c r="D16" s="44"/>
      <c r="E16" s="43"/>
      <c r="F16" s="43"/>
      <c r="G16" s="43"/>
      <c r="H16" s="43"/>
    </row>
    <row r="17" spans="1:9" x14ac:dyDescent="0.25">
      <c r="A17" s="54" t="s">
        <v>107</v>
      </c>
      <c r="B17" s="51">
        <v>1</v>
      </c>
      <c r="C17" s="53"/>
      <c r="D17" s="44"/>
      <c r="E17" s="129" t="s">
        <v>188</v>
      </c>
      <c r="F17" s="43"/>
      <c r="G17" s="43"/>
      <c r="H17" s="43" t="s">
        <v>185</v>
      </c>
      <c r="I17" s="42">
        <v>0</v>
      </c>
    </row>
    <row r="18" spans="1:9" x14ac:dyDescent="0.25">
      <c r="A18" s="49" t="s">
        <v>108</v>
      </c>
      <c r="B18" s="51">
        <v>0</v>
      </c>
      <c r="C18" s="235">
        <f>((+B18*1150)+(B19*(1150+1400)))/B17</f>
        <v>0</v>
      </c>
      <c r="D18" s="44"/>
      <c r="E18" s="129" t="s">
        <v>188</v>
      </c>
      <c r="F18" s="43"/>
      <c r="G18" s="43"/>
      <c r="H18" s="43" t="s">
        <v>187</v>
      </c>
      <c r="I18" s="42">
        <v>1150</v>
      </c>
    </row>
    <row r="19" spans="1:9" x14ac:dyDescent="0.25">
      <c r="A19" s="49" t="s">
        <v>109</v>
      </c>
      <c r="B19" s="51">
        <v>0</v>
      </c>
      <c r="C19" s="235"/>
      <c r="D19" s="44"/>
      <c r="E19" s="129" t="s">
        <v>188</v>
      </c>
      <c r="F19" s="43"/>
      <c r="G19" s="43"/>
      <c r="H19" s="42" t="s">
        <v>186</v>
      </c>
      <c r="I19" s="42">
        <v>1400</v>
      </c>
    </row>
    <row r="20" spans="1:9" x14ac:dyDescent="0.25">
      <c r="A20" s="52" t="s">
        <v>110</v>
      </c>
      <c r="B20" s="51">
        <v>0</v>
      </c>
      <c r="C20" s="48">
        <f>(B20*3000)/B17</f>
        <v>0</v>
      </c>
      <c r="D20" s="44"/>
      <c r="E20" s="129" t="s">
        <v>188</v>
      </c>
      <c r="F20" s="43"/>
      <c r="G20" s="43"/>
    </row>
    <row r="21" spans="1:9" x14ac:dyDescent="0.25">
      <c r="A21" s="52" t="s">
        <v>111</v>
      </c>
      <c r="B21" s="51">
        <v>0</v>
      </c>
      <c r="C21" s="48">
        <f>+(B21*9000)/B17</f>
        <v>0</v>
      </c>
      <c r="D21" s="44"/>
      <c r="E21" s="129" t="s">
        <v>188</v>
      </c>
      <c r="F21" s="43"/>
      <c r="G21" s="43"/>
    </row>
    <row r="22" spans="1:9" ht="5.25" customHeight="1" x14ac:dyDescent="0.25">
      <c r="A22" s="44"/>
      <c r="B22" s="44"/>
      <c r="C22" s="44"/>
      <c r="D22" s="44"/>
      <c r="E22" s="43"/>
      <c r="F22" s="43"/>
      <c r="G22" s="43"/>
    </row>
    <row r="23" spans="1:9" x14ac:dyDescent="0.25">
      <c r="A23" s="229" t="s">
        <v>112</v>
      </c>
      <c r="B23" s="229"/>
      <c r="C23" s="44"/>
      <c r="D23" s="44"/>
      <c r="E23" s="43"/>
      <c r="F23" s="43"/>
      <c r="G23" s="43"/>
    </row>
    <row r="24" spans="1:9" x14ac:dyDescent="0.25">
      <c r="A24" s="55" t="s">
        <v>113</v>
      </c>
      <c r="B24" s="56">
        <f>+Nómina!D58</f>
        <v>44336.788</v>
      </c>
      <c r="C24" s="44"/>
      <c r="D24" s="44"/>
      <c r="E24" s="43"/>
      <c r="F24" s="43"/>
      <c r="G24" s="43"/>
    </row>
    <row r="25" spans="1:9" ht="4.5" customHeight="1" x14ac:dyDescent="0.25">
      <c r="A25" s="44"/>
      <c r="B25" s="44"/>
      <c r="C25" s="44"/>
      <c r="D25" s="44"/>
    </row>
    <row r="26" spans="1:9" x14ac:dyDescent="0.25">
      <c r="A26" s="229" t="s">
        <v>114</v>
      </c>
      <c r="B26" s="229"/>
      <c r="C26" s="44"/>
      <c r="D26" s="44"/>
    </row>
    <row r="27" spans="1:9" hidden="1" x14ac:dyDescent="0.25">
      <c r="A27" s="46" t="s">
        <v>115</v>
      </c>
      <c r="B27" s="57">
        <v>2000</v>
      </c>
      <c r="C27" s="44"/>
      <c r="D27" s="44"/>
    </row>
    <row r="28" spans="1:9" x14ac:dyDescent="0.25">
      <c r="A28" s="46" t="s">
        <v>123</v>
      </c>
      <c r="B28" s="57">
        <f>-Nómina!D59</f>
        <v>2324.46</v>
      </c>
      <c r="C28" s="44"/>
      <c r="D28" s="44"/>
    </row>
    <row r="29" spans="1:9" hidden="1" x14ac:dyDescent="0.25">
      <c r="A29" s="49" t="str">
        <f>+A7</f>
        <v>Sin discapacidad</v>
      </c>
      <c r="B29" s="48">
        <f>IF(A7=H14,I14,IF(A7=H15,I15,0))</f>
        <v>0</v>
      </c>
      <c r="C29" s="44"/>
      <c r="D29" s="44"/>
    </row>
    <row r="30" spans="1:9" hidden="1" x14ac:dyDescent="0.25">
      <c r="A30" s="52" t="s">
        <v>116</v>
      </c>
      <c r="B30" s="57">
        <f>IF(B11&gt;2,600,0)</f>
        <v>0</v>
      </c>
      <c r="C30" s="44"/>
      <c r="D30" s="44"/>
    </row>
    <row r="31" spans="1:9" x14ac:dyDescent="0.25">
      <c r="A31" s="46" t="s">
        <v>189</v>
      </c>
      <c r="B31" s="130"/>
      <c r="C31" s="44"/>
      <c r="D31" s="44"/>
    </row>
    <row r="32" spans="1:9" hidden="1" x14ac:dyDescent="0.25">
      <c r="A32" s="58" t="s">
        <v>117</v>
      </c>
      <c r="B32" s="57">
        <f>+B24-B28-B27-B29-B30-B31</f>
        <v>40012.328000000001</v>
      </c>
      <c r="C32" s="56">
        <f>SUM(C5:C31)</f>
        <v>5550</v>
      </c>
      <c r="D32" s="44"/>
    </row>
    <row r="33" spans="1:4" hidden="1" x14ac:dyDescent="0.25">
      <c r="A33" s="58" t="s">
        <v>118</v>
      </c>
      <c r="B33" s="57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10506.06136</v>
      </c>
      <c r="C33" s="56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4"/>
    </row>
    <row r="34" spans="1:4" hidden="1" x14ac:dyDescent="0.25">
      <c r="A34" s="58" t="s">
        <v>119</v>
      </c>
      <c r="B34" s="57">
        <f>+B33-C33</f>
        <v>9451.5613599999997</v>
      </c>
      <c r="C34" s="44"/>
      <c r="D34" s="44"/>
    </row>
    <row r="35" spans="1:4" x14ac:dyDescent="0.25">
      <c r="A35" s="58" t="s">
        <v>120</v>
      </c>
      <c r="B35" s="59">
        <f>(+B34/B24)</f>
        <v>0.21317650164463875</v>
      </c>
      <c r="C35" s="44"/>
      <c r="D35" s="44"/>
    </row>
    <row r="36" spans="1:4" x14ac:dyDescent="0.25">
      <c r="A36" s="44"/>
      <c r="B36" s="44"/>
      <c r="C36" s="44"/>
      <c r="D36" s="44"/>
    </row>
  </sheetData>
  <sheetProtection sheet="1" objects="1" scenarios="1" selectLockedCells="1"/>
  <mergeCells count="10">
    <mergeCell ref="A23:B23"/>
    <mergeCell ref="A26:B26"/>
    <mergeCell ref="A7:B7"/>
    <mergeCell ref="A6:B6"/>
    <mergeCell ref="A1:C1"/>
    <mergeCell ref="A2:C2"/>
    <mergeCell ref="A4:B4"/>
    <mergeCell ref="A9:B9"/>
    <mergeCell ref="A16:B16"/>
    <mergeCell ref="C18:C19"/>
  </mergeCells>
  <dataValidations count="6">
    <dataValidation type="list" allowBlank="1" showInputMessage="1" showErrorMessage="1" sqref="B10" xr:uid="{00000000-0002-0000-0100-000000000000}">
      <formula1>$H$1:$H$2</formula1>
    </dataValidation>
    <dataValidation type="list" allowBlank="1" showInputMessage="1" showErrorMessage="1" sqref="B21" xr:uid="{00000000-0002-0000-0100-000001000000}">
      <formula1>$H$3:$H$23</formula1>
    </dataValidation>
    <dataValidation type="list" allowBlank="1" showInputMessage="1" showErrorMessage="1" sqref="B17" xr:uid="{00000000-0002-0000-0100-000002000000}">
      <formula1>$H$4:$H$10</formula1>
    </dataValidation>
    <dataValidation type="list" allowBlank="1" showInputMessage="1" showErrorMessage="1" sqref="B11:B14 B18:B20" xr:uid="{00000000-0002-0000-0100-000003000000}">
      <formula1>$H$3:$H$11</formula1>
    </dataValidation>
    <dataValidation type="list" allowBlank="1" showInputMessage="1" showErrorMessage="1" sqref="A7" xr:uid="{00000000-0002-0000-0100-000004000000}">
      <formula1>$H$13:$H$15</formula1>
    </dataValidation>
    <dataValidation type="list" allowBlank="1" showInputMessage="1" showErrorMessage="1" sqref="A6:B6" xr:uid="{00000000-0002-0000-0100-000005000000}">
      <formula1>$H$17:$H$19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I40"/>
  <sheetViews>
    <sheetView workbookViewId="0">
      <selection activeCell="B20" sqref="B20"/>
    </sheetView>
  </sheetViews>
  <sheetFormatPr baseColWidth="10" defaultRowHeight="15" x14ac:dyDescent="0.25"/>
  <cols>
    <col min="1" max="1" width="82.85546875" style="42" customWidth="1"/>
    <col min="2" max="2" width="11.85546875" style="42" bestFit="1" customWidth="1"/>
    <col min="3" max="3" width="11.85546875" style="42" hidden="1" customWidth="1"/>
    <col min="4" max="4" width="1.85546875" style="42" hidden="1" customWidth="1"/>
    <col min="5" max="5" width="26.5703125" style="42" bestFit="1" customWidth="1"/>
    <col min="6" max="6" width="12.140625" style="42" bestFit="1" customWidth="1"/>
    <col min="7" max="7" width="10.7109375" style="42" customWidth="1"/>
    <col min="8" max="8" width="49.85546875" style="42" hidden="1" customWidth="1"/>
    <col min="9" max="9" width="0" style="42" hidden="1" customWidth="1"/>
    <col min="10" max="16384" width="11.42578125" style="42"/>
  </cols>
  <sheetData>
    <row r="1" spans="1:9" ht="15.75" x14ac:dyDescent="0.25">
      <c r="A1" s="232" t="s">
        <v>92</v>
      </c>
      <c r="B1" s="233"/>
      <c r="C1" s="233"/>
      <c r="D1" s="44"/>
      <c r="H1" s="43" t="s">
        <v>98</v>
      </c>
    </row>
    <row r="2" spans="1:9" ht="15.75" x14ac:dyDescent="0.25">
      <c r="A2" s="234" t="s">
        <v>93</v>
      </c>
      <c r="B2" s="234"/>
      <c r="C2" s="234"/>
      <c r="D2" s="44"/>
      <c r="H2" s="43" t="s">
        <v>130</v>
      </c>
    </row>
    <row r="3" spans="1:9" ht="5.25" customHeight="1" x14ac:dyDescent="0.25">
      <c r="A3" s="44"/>
      <c r="B3" s="44"/>
      <c r="C3" s="44"/>
      <c r="D3" s="44"/>
      <c r="H3" s="42">
        <v>0</v>
      </c>
    </row>
    <row r="4" spans="1:9" x14ac:dyDescent="0.25">
      <c r="A4" s="229" t="s">
        <v>94</v>
      </c>
      <c r="B4" s="229"/>
      <c r="C4" s="45" t="s">
        <v>95</v>
      </c>
      <c r="D4" s="44"/>
      <c r="H4" s="42">
        <v>1</v>
      </c>
    </row>
    <row r="5" spans="1:9" hidden="1" x14ac:dyDescent="0.25">
      <c r="A5" s="46" t="s">
        <v>96</v>
      </c>
      <c r="B5" s="47"/>
      <c r="C5" s="48">
        <v>5550</v>
      </c>
      <c r="D5" s="44"/>
      <c r="H5" s="42">
        <v>2</v>
      </c>
    </row>
    <row r="6" spans="1:9" x14ac:dyDescent="0.25">
      <c r="A6" s="236" t="str">
        <f>+'IRPF año completo'!A6:B6</f>
        <v>Edad menor de 65 años</v>
      </c>
      <c r="B6" s="237"/>
      <c r="C6" s="48">
        <f>IF(A6=H17,I17,IF(A6=H18,I18,IF(A6=H19,I19+I18,0)))</f>
        <v>0</v>
      </c>
      <c r="D6" s="44"/>
      <c r="E6" s="129" t="s">
        <v>188</v>
      </c>
      <c r="F6" s="43"/>
      <c r="G6" s="43"/>
      <c r="H6" s="42">
        <v>3</v>
      </c>
    </row>
    <row r="7" spans="1:9" x14ac:dyDescent="0.25">
      <c r="A7" s="236" t="str">
        <f>+'IRPF año completo'!A7:B7</f>
        <v>Sin discapacidad</v>
      </c>
      <c r="B7" s="237"/>
      <c r="C7" s="44"/>
      <c r="D7" s="44"/>
      <c r="E7" s="129" t="s">
        <v>188</v>
      </c>
      <c r="F7" s="43"/>
      <c r="G7" s="43"/>
      <c r="H7" s="42">
        <v>4</v>
      </c>
    </row>
    <row r="8" spans="1:9" ht="7.5" customHeight="1" x14ac:dyDescent="0.25">
      <c r="A8" s="44"/>
      <c r="B8" s="44"/>
      <c r="C8" s="44"/>
      <c r="D8" s="44"/>
      <c r="E8" s="43"/>
      <c r="F8" s="43"/>
      <c r="G8" s="43"/>
      <c r="H8" s="42">
        <v>5</v>
      </c>
    </row>
    <row r="9" spans="1:9" x14ac:dyDescent="0.25">
      <c r="A9" s="229" t="s">
        <v>100</v>
      </c>
      <c r="B9" s="229"/>
      <c r="C9" s="44"/>
      <c r="D9" s="44"/>
      <c r="E9" s="43"/>
      <c r="F9" s="43"/>
      <c r="G9" s="43"/>
      <c r="H9" s="42">
        <v>6</v>
      </c>
    </row>
    <row r="10" spans="1:9" x14ac:dyDescent="0.25">
      <c r="A10" s="49" t="s">
        <v>101</v>
      </c>
      <c r="B10" s="139" t="str">
        <f>+'IRPF año completo'!B10</f>
        <v>NO</v>
      </c>
      <c r="C10" s="44"/>
      <c r="D10" s="44"/>
      <c r="E10" s="129" t="s">
        <v>188</v>
      </c>
      <c r="F10" s="43"/>
      <c r="G10" s="43"/>
      <c r="H10" s="42">
        <v>7</v>
      </c>
    </row>
    <row r="11" spans="1:9" x14ac:dyDescent="0.25">
      <c r="A11" s="49" t="s">
        <v>102</v>
      </c>
      <c r="B11" s="139">
        <f>+'IRPF año completo'!B11</f>
        <v>0</v>
      </c>
      <c r="C11" s="48">
        <f>IF(B10="si",IF(B11=1,2400,IF(B11=2,2400+2700,IF(B11=3,2400+2700+4000,IF(B11=4,2400+2700+4000+4500,IF(B11&gt;4,2400+2700+4000+4500+((B11-4)*4500),0))))),(IF(B11=1,2400,IF(B11=2,2400+2700,IF(B11=3,2400+2700+4000,IF(B11=4,2400+2700+4000+4500,IF(B11&gt;4,2400+2700+4000+4500+((B11-4)*4500),0))))))/2)</f>
        <v>0</v>
      </c>
      <c r="E11" s="129" t="s">
        <v>188</v>
      </c>
      <c r="F11" s="43"/>
      <c r="G11" s="43"/>
      <c r="H11" s="42">
        <v>8</v>
      </c>
    </row>
    <row r="12" spans="1:9" x14ac:dyDescent="0.25">
      <c r="A12" s="49" t="s">
        <v>103</v>
      </c>
      <c r="B12" s="139">
        <f>+'IRPF año completo'!B12</f>
        <v>0</v>
      </c>
      <c r="C12" s="68">
        <f>IF(B10="SI",+B12*2800,(+B12*2800)/2)</f>
        <v>0</v>
      </c>
      <c r="D12" s="44"/>
      <c r="E12" s="129" t="s">
        <v>188</v>
      </c>
      <c r="F12" s="43"/>
      <c r="G12" s="43"/>
    </row>
    <row r="13" spans="1:9" x14ac:dyDescent="0.25">
      <c r="A13" s="52" t="s">
        <v>104</v>
      </c>
      <c r="B13" s="139">
        <f>+'IRPF año completo'!B13</f>
        <v>0</v>
      </c>
      <c r="C13" s="48">
        <f>IF(B10="SI",(B13*3000),(B13*3000)/2)</f>
        <v>0</v>
      </c>
      <c r="D13" s="44"/>
      <c r="E13" s="129" t="s">
        <v>188</v>
      </c>
      <c r="F13" s="43"/>
      <c r="G13" s="43"/>
      <c r="H13" s="43" t="s">
        <v>184</v>
      </c>
      <c r="I13" s="42">
        <v>0</v>
      </c>
    </row>
    <row r="14" spans="1:9" x14ac:dyDescent="0.25">
      <c r="A14" s="52" t="s">
        <v>105</v>
      </c>
      <c r="B14" s="139">
        <f>+'IRPF año completo'!B14</f>
        <v>0</v>
      </c>
      <c r="C14" s="48">
        <f>IF(B10="SI",(B14*9000),(B14*9000)/2)</f>
        <v>0</v>
      </c>
      <c r="D14" s="44"/>
      <c r="E14" s="129" t="s">
        <v>188</v>
      </c>
      <c r="F14" s="43"/>
      <c r="G14" s="43"/>
      <c r="H14" s="43" t="s">
        <v>97</v>
      </c>
      <c r="I14" s="42">
        <v>3000</v>
      </c>
    </row>
    <row r="15" spans="1:9" ht="6" customHeight="1" x14ac:dyDescent="0.25">
      <c r="A15" s="53"/>
      <c r="B15" s="53"/>
      <c r="C15" s="53"/>
      <c r="D15" s="44"/>
      <c r="E15" s="43"/>
      <c r="F15" s="43"/>
      <c r="G15" s="43"/>
      <c r="H15" s="42" t="s">
        <v>99</v>
      </c>
      <c r="I15" s="42">
        <v>9000</v>
      </c>
    </row>
    <row r="16" spans="1:9" x14ac:dyDescent="0.25">
      <c r="A16" s="229" t="s">
        <v>106</v>
      </c>
      <c r="B16" s="229"/>
      <c r="C16" s="53"/>
      <c r="D16" s="44"/>
      <c r="E16" s="43"/>
      <c r="F16" s="43"/>
      <c r="G16" s="43"/>
      <c r="H16" s="43"/>
    </row>
    <row r="17" spans="1:9" x14ac:dyDescent="0.25">
      <c r="A17" s="54" t="s">
        <v>107</v>
      </c>
      <c r="B17" s="140">
        <f>+'IRPF año completo'!B17</f>
        <v>1</v>
      </c>
      <c r="C17" s="53"/>
      <c r="D17" s="44"/>
      <c r="E17" s="129" t="s">
        <v>188</v>
      </c>
      <c r="F17" s="43"/>
      <c r="G17" s="43"/>
      <c r="H17" s="43" t="s">
        <v>185</v>
      </c>
      <c r="I17" s="42">
        <v>0</v>
      </c>
    </row>
    <row r="18" spans="1:9" x14ac:dyDescent="0.25">
      <c r="A18" s="49" t="s">
        <v>108</v>
      </c>
      <c r="B18" s="140">
        <f>+'IRPF año completo'!B18</f>
        <v>0</v>
      </c>
      <c r="C18" s="235">
        <f>((+B18*1150)+(B19*(1150+1400)))/B17</f>
        <v>0</v>
      </c>
      <c r="D18" s="44"/>
      <c r="E18" s="129" t="s">
        <v>188</v>
      </c>
      <c r="F18" s="43"/>
      <c r="G18" s="43"/>
      <c r="H18" s="43" t="s">
        <v>187</v>
      </c>
      <c r="I18" s="42">
        <v>1150</v>
      </c>
    </row>
    <row r="19" spans="1:9" x14ac:dyDescent="0.25">
      <c r="A19" s="49" t="s">
        <v>109</v>
      </c>
      <c r="B19" s="140">
        <f>+'IRPF año completo'!B19</f>
        <v>0</v>
      </c>
      <c r="C19" s="235"/>
      <c r="D19" s="44"/>
      <c r="E19" s="129" t="s">
        <v>188</v>
      </c>
      <c r="F19" s="43"/>
      <c r="G19" s="43"/>
      <c r="H19" s="42" t="s">
        <v>186</v>
      </c>
      <c r="I19" s="42">
        <v>1400</v>
      </c>
    </row>
    <row r="20" spans="1:9" x14ac:dyDescent="0.25">
      <c r="A20" s="52" t="s">
        <v>110</v>
      </c>
      <c r="B20" s="140">
        <f>+'IRPF año completo'!B20</f>
        <v>0</v>
      </c>
      <c r="C20" s="48">
        <f>(B20*3000)/B17</f>
        <v>0</v>
      </c>
      <c r="D20" s="44"/>
      <c r="E20" s="129" t="s">
        <v>188</v>
      </c>
      <c r="F20" s="43"/>
      <c r="G20" s="43"/>
    </row>
    <row r="21" spans="1:9" x14ac:dyDescent="0.25">
      <c r="A21" s="52" t="s">
        <v>111</v>
      </c>
      <c r="B21" s="140">
        <f>+'IRPF año completo'!B21</f>
        <v>0</v>
      </c>
      <c r="C21" s="48">
        <f>+(B21*9000)/B17</f>
        <v>0</v>
      </c>
      <c r="D21" s="44"/>
      <c r="E21" s="129" t="s">
        <v>188</v>
      </c>
      <c r="F21" s="43"/>
      <c r="G21" s="43"/>
    </row>
    <row r="22" spans="1:9" ht="5.25" customHeight="1" x14ac:dyDescent="0.25">
      <c r="A22" s="44"/>
      <c r="B22" s="44"/>
      <c r="C22" s="44"/>
      <c r="D22" s="44"/>
      <c r="E22" s="43"/>
      <c r="F22" s="43"/>
      <c r="G22" s="43"/>
    </row>
    <row r="23" spans="1:9" x14ac:dyDescent="0.25">
      <c r="A23" s="229" t="s">
        <v>112</v>
      </c>
      <c r="B23" s="229"/>
      <c r="C23" s="44"/>
      <c r="D23" s="44"/>
      <c r="E23" s="43"/>
      <c r="F23" s="43"/>
      <c r="G23" s="43"/>
    </row>
    <row r="24" spans="1:9" x14ac:dyDescent="0.25">
      <c r="A24" s="55" t="s">
        <v>220</v>
      </c>
      <c r="B24" s="56">
        <f>(+B39/12)*B38</f>
        <v>29557.858666666667</v>
      </c>
      <c r="C24" s="44"/>
      <c r="D24" s="44"/>
      <c r="E24" s="43"/>
      <c r="F24" s="43"/>
      <c r="G24" s="43"/>
    </row>
    <row r="25" spans="1:9" ht="4.5" customHeight="1" x14ac:dyDescent="0.25">
      <c r="A25" s="44"/>
      <c r="B25" s="44"/>
      <c r="C25" s="44"/>
      <c r="D25" s="44"/>
    </row>
    <row r="26" spans="1:9" x14ac:dyDescent="0.25">
      <c r="A26" s="229" t="s">
        <v>114</v>
      </c>
      <c r="B26" s="229"/>
      <c r="C26" s="44"/>
      <c r="D26" s="44"/>
    </row>
    <row r="27" spans="1:9" hidden="1" x14ac:dyDescent="0.25">
      <c r="A27" s="46" t="s">
        <v>115</v>
      </c>
      <c r="B27" s="57">
        <v>2000</v>
      </c>
      <c r="C27" s="44"/>
      <c r="D27" s="44"/>
    </row>
    <row r="28" spans="1:9" x14ac:dyDescent="0.25">
      <c r="A28" s="46" t="s">
        <v>123</v>
      </c>
      <c r="B28" s="57">
        <f>(-B40/12)*B38</f>
        <v>1549.64</v>
      </c>
      <c r="C28" s="44"/>
      <c r="D28" s="44"/>
    </row>
    <row r="29" spans="1:9" hidden="1" x14ac:dyDescent="0.25">
      <c r="A29" s="49" t="str">
        <f>+A7</f>
        <v>Sin discapacidad</v>
      </c>
      <c r="B29" s="48">
        <f>IF(A7=H14,I14,IF(A7=H15,I15,0))</f>
        <v>0</v>
      </c>
      <c r="C29" s="44"/>
      <c r="D29" s="44"/>
    </row>
    <row r="30" spans="1:9" hidden="1" x14ac:dyDescent="0.25">
      <c r="A30" s="52" t="s">
        <v>116</v>
      </c>
      <c r="B30" s="57">
        <f>IF(B11&gt;2,600,0)</f>
        <v>0</v>
      </c>
      <c r="C30" s="44"/>
      <c r="D30" s="44"/>
    </row>
    <row r="31" spans="1:9" x14ac:dyDescent="0.25">
      <c r="A31" s="46" t="s">
        <v>189</v>
      </c>
      <c r="B31" s="129"/>
      <c r="C31" s="44"/>
      <c r="D31" s="44"/>
    </row>
    <row r="32" spans="1:9" hidden="1" x14ac:dyDescent="0.25">
      <c r="A32" s="58" t="s">
        <v>117</v>
      </c>
      <c r="B32" s="57">
        <f>+B24-B28-B27-B29-B30-B31</f>
        <v>26008.218666666668</v>
      </c>
      <c r="C32" s="56">
        <f>SUM(C5:C31)</f>
        <v>5550</v>
      </c>
      <c r="D32" s="44"/>
    </row>
    <row r="33" spans="1:4" hidden="1" x14ac:dyDescent="0.25">
      <c r="A33" s="58" t="s">
        <v>118</v>
      </c>
      <c r="B33" s="57">
        <f>IF(B32&lt;=12450,B32*19%,IF(AND(B32&gt;12450,B32&lt;20200.0000001),((B32-12450)*24%)+2362.5,IF(AND(B32&gt;20200.000001,B32&lt;35200.0000001),((B32-20200)*30%)+4225.5,IF(AND(B32&gt;35200.000001,B32&lt;60000.0000001),((B32-35200)*37%)+8725.5,IF(B32&gt;60000.000001,((B32-60000)*45%)+17901.5,0)))))</f>
        <v>5967.9656000000004</v>
      </c>
      <c r="C33" s="56">
        <f>IF(C32&lt;12450.0000001,C32*19%,IF(AND(C32&gt;12450.000001,C32&lt;20200.0000001),((C32-12450)*24%)+2365.5,IF(AND(C32&gt;20200.000001,C32&lt;35200.0000001),((C32-20200)*30%)+4225.5,IF(AND(C32&gt;35200.000001,C32&lt;60000.0000001),((C32-35200)*37%)+8725.5,IF(C32&gt;60000.000001,((C32-60000)*45%)+17901.5,0)))))</f>
        <v>1054.5</v>
      </c>
      <c r="D33" s="44"/>
    </row>
    <row r="34" spans="1:4" hidden="1" x14ac:dyDescent="0.25">
      <c r="A34" s="58" t="s">
        <v>119</v>
      </c>
      <c r="B34" s="57">
        <f>+B33-C33</f>
        <v>4913.4656000000004</v>
      </c>
      <c r="C34" s="44"/>
      <c r="D34" s="44"/>
    </row>
    <row r="35" spans="1:4" x14ac:dyDescent="0.25">
      <c r="A35" s="58" t="s">
        <v>120</v>
      </c>
      <c r="B35" s="59">
        <f>(+B34/B24)</f>
        <v>0.16623212308478461</v>
      </c>
      <c r="C35" s="44"/>
      <c r="D35" s="44"/>
    </row>
    <row r="36" spans="1:4" x14ac:dyDescent="0.25">
      <c r="A36" s="44"/>
      <c r="B36" s="44"/>
      <c r="C36" s="44"/>
      <c r="D36" s="44"/>
    </row>
    <row r="38" spans="1:4" ht="21" x14ac:dyDescent="0.35">
      <c r="A38" s="138" t="s">
        <v>219</v>
      </c>
      <c r="B38" s="143">
        <v>8</v>
      </c>
    </row>
    <row r="39" spans="1:4" hidden="1" x14ac:dyDescent="0.25">
      <c r="B39" s="43">
        <f>+Nómina!D58</f>
        <v>44336.788</v>
      </c>
    </row>
    <row r="40" spans="1:4" hidden="1" x14ac:dyDescent="0.25">
      <c r="B40" s="43">
        <f>+Nómina!D59</f>
        <v>-2324.46</v>
      </c>
    </row>
  </sheetData>
  <sheetProtection sheet="1" objects="1" scenarios="1"/>
  <mergeCells count="10">
    <mergeCell ref="A16:B16"/>
    <mergeCell ref="C18:C19"/>
    <mergeCell ref="A23:B23"/>
    <mergeCell ref="A26:B26"/>
    <mergeCell ref="A1:C1"/>
    <mergeCell ref="A2:C2"/>
    <mergeCell ref="A4:B4"/>
    <mergeCell ref="A6:B6"/>
    <mergeCell ref="A7:B7"/>
    <mergeCell ref="A9:B9"/>
  </mergeCells>
  <dataValidations count="4">
    <dataValidation type="list" allowBlank="1" showInputMessage="1" showErrorMessage="1" sqref="A6:B6" xr:uid="{00000000-0002-0000-0200-000000000000}">
      <formula1>$H$17:$H$19</formula1>
    </dataValidation>
    <dataValidation type="list" allowBlank="1" showInputMessage="1" showErrorMessage="1" sqref="A7" xr:uid="{00000000-0002-0000-0200-000001000000}">
      <formula1>$H$13:$H$15</formula1>
    </dataValidation>
    <dataValidation type="list" allowBlank="1" showInputMessage="1" showErrorMessage="1" sqref="B17:B21" xr:uid="{00000000-0002-0000-0200-000002000000}">
      <formula1>$H$4:$H$10</formula1>
    </dataValidation>
    <dataValidation type="list" allowBlank="1" showInputMessage="1" showErrorMessage="1" sqref="B10:B14" xr:uid="{00000000-0002-0000-0200-000003000000}">
      <formula1>$H$1:$H$2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90"/>
  <sheetViews>
    <sheetView topLeftCell="A23" workbookViewId="0">
      <selection activeCell="F33" sqref="F33"/>
    </sheetView>
  </sheetViews>
  <sheetFormatPr baseColWidth="10" defaultRowHeight="15" x14ac:dyDescent="0.25"/>
  <cols>
    <col min="1" max="1" width="3" style="42" bestFit="1" customWidth="1"/>
    <col min="2" max="2" width="3.28515625" style="42" bestFit="1" customWidth="1"/>
    <col min="3" max="3" width="38.140625" style="42" bestFit="1" customWidth="1"/>
    <col min="4" max="4" width="9.28515625" style="42" customWidth="1"/>
    <col min="5" max="5" width="10.140625" style="42" customWidth="1"/>
    <col min="6" max="6" width="9.42578125" style="42" customWidth="1"/>
    <col min="7" max="7" width="9.28515625" style="42" customWidth="1"/>
    <col min="8" max="8" width="9.85546875" style="42" customWidth="1"/>
    <col min="9" max="9" width="9.7109375" style="42" customWidth="1"/>
    <col min="10" max="10" width="8.28515625" style="42" bestFit="1" customWidth="1"/>
    <col min="11" max="11" width="10.140625" style="42" customWidth="1"/>
    <col min="12" max="12" width="9.28515625" style="42" customWidth="1"/>
    <col min="13" max="13" width="8.85546875" style="42" bestFit="1" customWidth="1"/>
    <col min="14" max="14" width="8.140625" style="42" bestFit="1" customWidth="1"/>
    <col min="15" max="15" width="10.28515625" style="42" bestFit="1" customWidth="1"/>
    <col min="16" max="16" width="10.42578125" style="42" bestFit="1" customWidth="1"/>
    <col min="17" max="20" width="8.140625" style="42" bestFit="1" customWidth="1"/>
    <col min="21" max="21" width="7.28515625" style="42" bestFit="1" customWidth="1"/>
    <col min="22" max="23" width="8" style="42" bestFit="1" customWidth="1"/>
    <col min="24" max="24" width="11.42578125" style="42" bestFit="1" customWidth="1"/>
    <col min="25" max="25" width="7.5703125" style="42" bestFit="1" customWidth="1"/>
    <col min="26" max="26" width="6.5703125" style="42" bestFit="1" customWidth="1"/>
    <col min="27" max="27" width="3" style="42" bestFit="1" customWidth="1"/>
    <col min="28" max="28" width="3.28515625" style="42" bestFit="1" customWidth="1"/>
    <col min="29" max="30" width="6.5703125" style="42" bestFit="1" customWidth="1"/>
    <col min="31" max="31" width="10.28515625" style="42" bestFit="1" customWidth="1"/>
    <col min="32" max="32" width="6.7109375" style="42" hidden="1" customWidth="1"/>
    <col min="33" max="34" width="7" style="42" bestFit="1" customWidth="1"/>
    <col min="35" max="35" width="7.85546875" style="42" bestFit="1" customWidth="1"/>
    <col min="36" max="36" width="6.28515625" style="42" bestFit="1" customWidth="1"/>
    <col min="37" max="40" width="7" style="42" bestFit="1" customWidth="1"/>
    <col min="41" max="42" width="7.85546875" style="42" bestFit="1" customWidth="1"/>
    <col min="43" max="43" width="6.7109375" style="42" hidden="1" customWidth="1"/>
    <col min="44" max="44" width="10.7109375" style="42" bestFit="1" customWidth="1"/>
    <col min="45" max="45" width="6.7109375" style="42" hidden="1" customWidth="1"/>
    <col min="46" max="46" width="11.42578125" style="42" customWidth="1"/>
    <col min="47" max="47" width="75.7109375" style="42" bestFit="1" customWidth="1"/>
    <col min="48" max="16384" width="11.42578125" style="42"/>
  </cols>
  <sheetData>
    <row r="1" spans="1:46" hidden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</row>
    <row r="2" spans="1:46" hidden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100">
        <v>1</v>
      </c>
      <c r="M2" s="100">
        <v>1</v>
      </c>
      <c r="N2" s="100">
        <v>2</v>
      </c>
      <c r="O2" s="100">
        <v>2</v>
      </c>
      <c r="P2" s="100">
        <v>3</v>
      </c>
      <c r="Q2" s="100">
        <v>3</v>
      </c>
      <c r="R2" s="100">
        <v>4</v>
      </c>
      <c r="S2" s="100">
        <v>4</v>
      </c>
      <c r="T2" s="100">
        <v>5</v>
      </c>
      <c r="U2" s="100">
        <v>5</v>
      </c>
      <c r="V2" s="238" t="s">
        <v>141</v>
      </c>
      <c r="W2" s="238"/>
      <c r="X2" s="238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</row>
    <row r="3" spans="1:46" ht="36" hidden="1" x14ac:dyDescent="0.25">
      <c r="A3" s="69"/>
      <c r="B3" s="69"/>
      <c r="C3" s="69"/>
      <c r="D3" s="71" t="s">
        <v>2</v>
      </c>
      <c r="E3" s="71" t="s">
        <v>129</v>
      </c>
      <c r="F3" s="72" t="s">
        <v>3</v>
      </c>
      <c r="G3" s="72" t="s">
        <v>142</v>
      </c>
      <c r="H3" s="73" t="s">
        <v>143</v>
      </c>
      <c r="I3" s="73" t="s">
        <v>144</v>
      </c>
      <c r="J3" s="74" t="s">
        <v>145</v>
      </c>
      <c r="K3" s="75" t="s">
        <v>146</v>
      </c>
      <c r="L3" s="76" t="s">
        <v>137</v>
      </c>
      <c r="M3" s="76" t="s">
        <v>147</v>
      </c>
      <c r="N3" s="76" t="s">
        <v>138</v>
      </c>
      <c r="O3" s="76" t="s">
        <v>148</v>
      </c>
      <c r="P3" s="76" t="s">
        <v>139</v>
      </c>
      <c r="Q3" s="76" t="s">
        <v>149</v>
      </c>
      <c r="R3" s="76" t="s">
        <v>140</v>
      </c>
      <c r="S3" s="76" t="s">
        <v>150</v>
      </c>
      <c r="T3" s="76" t="s">
        <v>151</v>
      </c>
      <c r="U3" s="76" t="s">
        <v>152</v>
      </c>
      <c r="V3" s="77" t="s">
        <v>153</v>
      </c>
      <c r="W3" s="78" t="s">
        <v>136</v>
      </c>
      <c r="X3" s="79" t="s">
        <v>6</v>
      </c>
      <c r="Y3" s="80" t="s">
        <v>13</v>
      </c>
      <c r="Z3" s="81" t="s">
        <v>154</v>
      </c>
      <c r="AA3" s="82"/>
      <c r="AB3" s="82"/>
      <c r="AC3" s="83" t="s">
        <v>155</v>
      </c>
      <c r="AD3" s="83" t="s">
        <v>44</v>
      </c>
      <c r="AE3" s="84" t="s">
        <v>156</v>
      </c>
      <c r="AF3" s="69"/>
      <c r="AG3" s="85" t="s">
        <v>157</v>
      </c>
      <c r="AH3" s="85" t="s">
        <v>158</v>
      </c>
      <c r="AI3" s="85" t="s">
        <v>159</v>
      </c>
      <c r="AJ3" s="85" t="s">
        <v>160</v>
      </c>
      <c r="AK3" s="85" t="s">
        <v>161</v>
      </c>
      <c r="AL3" s="85" t="s">
        <v>162</v>
      </c>
      <c r="AM3" s="85" t="s">
        <v>163</v>
      </c>
      <c r="AN3" s="85" t="s">
        <v>164</v>
      </c>
      <c r="AO3" s="85" t="s">
        <v>165</v>
      </c>
      <c r="AP3" s="85" t="s">
        <v>166</v>
      </c>
      <c r="AR3" s="85" t="s">
        <v>167</v>
      </c>
      <c r="AS3" s="69"/>
      <c r="AT3" s="69"/>
    </row>
    <row r="4" spans="1:46" hidden="1" x14ac:dyDescent="0.25">
      <c r="A4" s="86" t="s">
        <v>53</v>
      </c>
      <c r="B4" s="86">
        <v>26</v>
      </c>
      <c r="C4" s="87" t="s">
        <v>168</v>
      </c>
      <c r="D4" s="110">
        <f>+D26</f>
        <v>1203.56</v>
      </c>
      <c r="E4" s="110">
        <f>+D27</f>
        <v>742.7</v>
      </c>
      <c r="F4" s="110">
        <f>+D28</f>
        <v>46.32</v>
      </c>
      <c r="G4" s="110">
        <f>+D29</f>
        <v>28.59</v>
      </c>
      <c r="H4" s="110">
        <f>+D30</f>
        <v>768.16</v>
      </c>
      <c r="I4" s="88">
        <f>+H4</f>
        <v>768.16</v>
      </c>
      <c r="J4" s="110">
        <f>+D32</f>
        <v>1501.52</v>
      </c>
      <c r="K4" s="89">
        <f>+J4*78%</f>
        <v>1171.1856</v>
      </c>
      <c r="L4" s="111">
        <f>+D34</f>
        <v>55</v>
      </c>
      <c r="M4" s="104">
        <f>+D35</f>
        <v>42.9</v>
      </c>
      <c r="N4" s="111">
        <f>+D36</f>
        <v>87</v>
      </c>
      <c r="O4" s="104">
        <f>+D37</f>
        <v>67.86</v>
      </c>
      <c r="P4" s="111">
        <f>+D38</f>
        <v>99</v>
      </c>
      <c r="Q4" s="104">
        <f>+D39</f>
        <v>77.22</v>
      </c>
      <c r="R4" s="111">
        <f>+D40</f>
        <v>118.8</v>
      </c>
      <c r="S4" s="104">
        <f>+D41</f>
        <v>92.664000000000001</v>
      </c>
      <c r="T4" s="111">
        <f>+D42</f>
        <v>188.8</v>
      </c>
      <c r="U4" s="104">
        <f>+D43</f>
        <v>147.26400000000001</v>
      </c>
      <c r="V4" s="110">
        <f>+D44</f>
        <v>176.69</v>
      </c>
      <c r="W4" s="110">
        <f>+D45</f>
        <v>588.76</v>
      </c>
      <c r="X4" s="110">
        <f>+D46</f>
        <v>41.34</v>
      </c>
      <c r="Y4" s="112">
        <f>+D47</f>
        <v>48.99</v>
      </c>
      <c r="Z4" s="113">
        <f>+D48</f>
        <v>111.9</v>
      </c>
      <c r="AA4" s="70">
        <f>IF([1]Datos!E$11=[1]Retribuciones!C4,[1]Retribuciones!AD4,0)</f>
        <v>0</v>
      </c>
      <c r="AB4" s="70" t="str">
        <f t="shared" ref="AB4:AB12" si="0">IF(AA4&gt;0,A4,"")</f>
        <v/>
      </c>
      <c r="AC4" s="90">
        <f>'[1]Tiempos de cotización'!N5</f>
        <v>5</v>
      </c>
      <c r="AD4" s="91">
        <f>+'[1]Tiempos de cotización'!K5</f>
        <v>10</v>
      </c>
      <c r="AE4" s="92" t="str">
        <f>+[1]Datos!S17</f>
        <v>Isla Capitalina</v>
      </c>
      <c r="AF4" s="69"/>
      <c r="AG4" s="93">
        <f t="shared" ref="AG4:AG12" si="1">+D4+((F$15*AA$15)+(F$16*AA$16)+(F$17*AA$17)+(F$18*AA$18)+(F$19*AA$19))+H4+J4+(IF(AC4=L$2,L4,IF(AC4=N$2,N4,IF(AC4=P$2,P4,IF(AC4=R$2,R4,IF(AC4&gt;R$2,T4,0))))))+(IF(AE4=V$3,V4,W4+(X$15*AA$15)+(X$16*AA$16)+(X$17*AA$17)+(X$18*AA$18)+(X$19*AA$19)))</f>
        <v>4301.9299999999994</v>
      </c>
      <c r="AH4" s="94">
        <f t="shared" ref="AH4:AH11" si="2">+E4+(G$15*AA$15)+(G$16*AA$16)+(G$17*AA$17)+(G$18*AA$18)+(G$19*AA$19)+(IF(AC4=M$2,M4,IF(AC4=O$2,O4,IF(AC4=Q$2,Q4,IF(AC4=S$2,S4,IF(AC4&gt;S$2,U4,0))))))+I4+K4</f>
        <v>2829.3096</v>
      </c>
      <c r="AI4" s="93">
        <f>+(AG4*12)+(AH4*2)</f>
        <v>57281.77919999999</v>
      </c>
      <c r="AJ4" s="95">
        <f>+'[1]IRPF Inspect'!B37</f>
        <v>0.24184213748526701</v>
      </c>
      <c r="AK4" s="93">
        <f t="shared" ref="AK4:AK13" si="3">+AG4*AJ4</f>
        <v>1040.3879465119946</v>
      </c>
      <c r="AL4" s="96">
        <f t="shared" ref="AL4:AL13" si="4">+AG4-Y4-Z4-AK4</f>
        <v>3100.6520534880055</v>
      </c>
      <c r="AM4" s="96">
        <f t="shared" ref="AM4:AM12" si="5">(+AG4+AH4)*AJ4</f>
        <v>1724.6342277835802</v>
      </c>
      <c r="AN4" s="96">
        <f t="shared" ref="AN4:AN12" si="6">(+AG4+AH4)-Y4-Y4-Z4-Z4-AM4</f>
        <v>5084.82537221642</v>
      </c>
      <c r="AO4" s="96">
        <f t="shared" ref="AO4:AO13" si="7">+AI4*AJ4</f>
        <v>13853.147920687106</v>
      </c>
      <c r="AP4" s="96">
        <f>+AI4-((Y4+Z4)*14)-AO4</f>
        <v>41176.171279312883</v>
      </c>
      <c r="AR4" s="96">
        <f t="shared" ref="AR4:AR12" si="8">+((D4+(F$19*AA$19)+(F$18*AA$18))/2)</f>
        <v>833.38</v>
      </c>
      <c r="AS4" s="69"/>
      <c r="AT4" s="69"/>
    </row>
    <row r="5" spans="1:46" hidden="1" x14ac:dyDescent="0.25">
      <c r="A5" s="86" t="s">
        <v>53</v>
      </c>
      <c r="B5" s="86">
        <v>26</v>
      </c>
      <c r="C5" s="87" t="s">
        <v>169</v>
      </c>
      <c r="D5" s="88">
        <f>+D4</f>
        <v>1203.56</v>
      </c>
      <c r="E5" s="88">
        <f>+E4</f>
        <v>742.7</v>
      </c>
      <c r="F5" s="88">
        <f>+F4</f>
        <v>46.32</v>
      </c>
      <c r="G5" s="88">
        <f>+G4</f>
        <v>28.59</v>
      </c>
      <c r="H5" s="88">
        <f>+H4</f>
        <v>768.16</v>
      </c>
      <c r="I5" s="88">
        <f t="shared" ref="I5:I13" si="9">+H5</f>
        <v>768.16</v>
      </c>
      <c r="J5" s="110">
        <f>+E32</f>
        <v>719.29</v>
      </c>
      <c r="K5" s="89">
        <f t="shared" ref="K5:K13" si="10">+J5*78%</f>
        <v>561.0462</v>
      </c>
      <c r="L5" s="97">
        <f>+L4</f>
        <v>55</v>
      </c>
      <c r="M5" s="97">
        <f t="shared" ref="M5:Z13" si="11">+M4</f>
        <v>42.9</v>
      </c>
      <c r="N5" s="97">
        <f t="shared" si="11"/>
        <v>87</v>
      </c>
      <c r="O5" s="97">
        <f t="shared" si="11"/>
        <v>67.86</v>
      </c>
      <c r="P5" s="97">
        <f t="shared" si="11"/>
        <v>99</v>
      </c>
      <c r="Q5" s="97">
        <f t="shared" si="11"/>
        <v>77.22</v>
      </c>
      <c r="R5" s="97">
        <f t="shared" si="11"/>
        <v>118.8</v>
      </c>
      <c r="S5" s="97">
        <f t="shared" si="11"/>
        <v>92.664000000000001</v>
      </c>
      <c r="T5" s="97">
        <f t="shared" si="11"/>
        <v>188.8</v>
      </c>
      <c r="U5" s="97">
        <f t="shared" si="11"/>
        <v>147.26400000000001</v>
      </c>
      <c r="V5" s="110">
        <f>+E44</f>
        <v>159.07</v>
      </c>
      <c r="W5" s="110">
        <f>+E45</f>
        <v>529.88</v>
      </c>
      <c r="X5" s="110">
        <f>+E46</f>
        <v>37.19</v>
      </c>
      <c r="Y5" s="97">
        <f t="shared" ref="Y5:Z9" si="12">+Y4</f>
        <v>48.99</v>
      </c>
      <c r="Z5" s="97">
        <f t="shared" si="12"/>
        <v>111.9</v>
      </c>
      <c r="AA5" s="70">
        <f>IF([1]Datos!E$11=[1]Retribuciones!C5,[1]Retribuciones!AD5,0)</f>
        <v>0</v>
      </c>
      <c r="AB5" s="70" t="str">
        <f t="shared" si="0"/>
        <v/>
      </c>
      <c r="AC5" s="90">
        <f>+AC4</f>
        <v>5</v>
      </c>
      <c r="AD5" s="91">
        <f>+AD4</f>
        <v>10</v>
      </c>
      <c r="AE5" s="92" t="str">
        <f>+AE4</f>
        <v>Isla Capitalina</v>
      </c>
      <c r="AF5" s="69"/>
      <c r="AG5" s="93">
        <f t="shared" si="1"/>
        <v>3502.0800000000004</v>
      </c>
      <c r="AH5" s="94">
        <f t="shared" si="2"/>
        <v>2219.1702</v>
      </c>
      <c r="AI5" s="93">
        <f t="shared" ref="AI5:AI12" si="13">+(AG5*12)+(AH5*2)</f>
        <v>46463.300400000007</v>
      </c>
      <c r="AJ5" s="95">
        <f>+'[1]IRPF Catred'!B37</f>
        <v>0.21154822438283008</v>
      </c>
      <c r="AK5" s="93">
        <f t="shared" si="3"/>
        <v>740.8588056466217</v>
      </c>
      <c r="AL5" s="96">
        <f t="shared" si="4"/>
        <v>2600.331194353379</v>
      </c>
      <c r="AM5" s="96">
        <f t="shared" si="5"/>
        <v>1210.3203210599115</v>
      </c>
      <c r="AN5" s="96">
        <f t="shared" si="6"/>
        <v>4189.1498789400903</v>
      </c>
      <c r="AO5" s="96">
        <f t="shared" si="7"/>
        <v>9829.228698586041</v>
      </c>
      <c r="AP5" s="96">
        <f t="shared" ref="AP5:AP13" si="14">+AI5-((Y5+Z5)*14)-AO5</f>
        <v>34381.611701413967</v>
      </c>
      <c r="AR5" s="96">
        <f t="shared" si="8"/>
        <v>833.38</v>
      </c>
      <c r="AS5" s="69"/>
      <c r="AT5" s="69"/>
    </row>
    <row r="6" spans="1:46" hidden="1" x14ac:dyDescent="0.25">
      <c r="A6" s="86" t="s">
        <v>53</v>
      </c>
      <c r="B6" s="86">
        <v>24</v>
      </c>
      <c r="C6" s="87" t="s">
        <v>68</v>
      </c>
      <c r="D6" s="88">
        <f t="shared" ref="D6:G9" si="15">+D5</f>
        <v>1203.56</v>
      </c>
      <c r="E6" s="88">
        <f t="shared" si="15"/>
        <v>742.7</v>
      </c>
      <c r="F6" s="88">
        <f t="shared" si="15"/>
        <v>46.32</v>
      </c>
      <c r="G6" s="88">
        <f t="shared" si="15"/>
        <v>28.59</v>
      </c>
      <c r="H6" s="110">
        <f>+F30</f>
        <v>641.34</v>
      </c>
      <c r="I6" s="88">
        <f t="shared" si="9"/>
        <v>641.34</v>
      </c>
      <c r="J6" s="110">
        <f>+F32</f>
        <v>666.88</v>
      </c>
      <c r="K6" s="89">
        <f t="shared" si="10"/>
        <v>520.16640000000007</v>
      </c>
      <c r="L6" s="97">
        <f t="shared" ref="L6:L13" si="16">+L5</f>
        <v>55</v>
      </c>
      <c r="M6" s="97">
        <f t="shared" si="11"/>
        <v>42.9</v>
      </c>
      <c r="N6" s="97">
        <f t="shared" si="11"/>
        <v>87</v>
      </c>
      <c r="O6" s="97">
        <f t="shared" si="11"/>
        <v>67.86</v>
      </c>
      <c r="P6" s="97">
        <f t="shared" si="11"/>
        <v>99</v>
      </c>
      <c r="Q6" s="97">
        <f t="shared" si="11"/>
        <v>77.22</v>
      </c>
      <c r="R6" s="97">
        <f t="shared" si="11"/>
        <v>118.8</v>
      </c>
      <c r="S6" s="97">
        <f t="shared" si="11"/>
        <v>92.664000000000001</v>
      </c>
      <c r="T6" s="97">
        <f t="shared" si="11"/>
        <v>188.8</v>
      </c>
      <c r="U6" s="97">
        <f t="shared" si="11"/>
        <v>147.26400000000001</v>
      </c>
      <c r="V6" s="110">
        <f>+F44</f>
        <v>141.38999999999999</v>
      </c>
      <c r="W6" s="110">
        <f>+F45</f>
        <v>471</v>
      </c>
      <c r="X6" s="110">
        <f>+F46</f>
        <v>33.119999999999997</v>
      </c>
      <c r="Y6" s="97">
        <f t="shared" si="12"/>
        <v>48.99</v>
      </c>
      <c r="Z6" s="97">
        <f t="shared" si="12"/>
        <v>111.9</v>
      </c>
      <c r="AA6" s="70">
        <f>IF([1]Datos!E$11=[1]Retribuciones!C6,[1]Retribuciones!AD6,0)</f>
        <v>0</v>
      </c>
      <c r="AB6" s="70" t="str">
        <f t="shared" si="0"/>
        <v/>
      </c>
      <c r="AC6" s="90">
        <f t="shared" ref="AC6:AE19" si="17">+AC5</f>
        <v>5</v>
      </c>
      <c r="AD6" s="91">
        <f t="shared" si="17"/>
        <v>10</v>
      </c>
      <c r="AE6" s="92" t="str">
        <f t="shared" si="17"/>
        <v>Isla Capitalina</v>
      </c>
      <c r="AF6" s="69"/>
      <c r="AG6" s="93">
        <f t="shared" si="1"/>
        <v>3305.17</v>
      </c>
      <c r="AH6" s="94">
        <f t="shared" si="2"/>
        <v>2051.4704000000002</v>
      </c>
      <c r="AI6" s="93">
        <f t="shared" si="13"/>
        <v>43764.980800000005</v>
      </c>
      <c r="AJ6" s="95">
        <f>+'[1]IRPF Secund'!B37</f>
        <v>0.20145853945549197</v>
      </c>
      <c r="AK6" s="93">
        <f t="shared" si="3"/>
        <v>665.85472085210836</v>
      </c>
      <c r="AL6" s="96">
        <f t="shared" si="4"/>
        <v>2478.4252791478921</v>
      </c>
      <c r="AM6" s="96">
        <f t="shared" si="5"/>
        <v>1079.1409513722824</v>
      </c>
      <c r="AN6" s="96">
        <f t="shared" si="6"/>
        <v>3955.719448627719</v>
      </c>
      <c r="AO6" s="96">
        <f t="shared" si="7"/>
        <v>8816.8291112656498</v>
      </c>
      <c r="AP6" s="96">
        <f t="shared" si="14"/>
        <v>32695.691688734354</v>
      </c>
      <c r="AR6" s="96">
        <f t="shared" si="8"/>
        <v>833.38</v>
      </c>
      <c r="AS6" s="69"/>
      <c r="AT6" s="69"/>
    </row>
    <row r="7" spans="1:46" hidden="1" x14ac:dyDescent="0.25">
      <c r="A7" s="86" t="s">
        <v>53</v>
      </c>
      <c r="B7" s="86">
        <v>24</v>
      </c>
      <c r="C7" s="87" t="s">
        <v>82</v>
      </c>
      <c r="D7" s="88">
        <f t="shared" si="15"/>
        <v>1203.56</v>
      </c>
      <c r="E7" s="88">
        <f t="shared" si="15"/>
        <v>742.7</v>
      </c>
      <c r="F7" s="88">
        <f t="shared" si="15"/>
        <v>46.32</v>
      </c>
      <c r="G7" s="88">
        <f t="shared" si="15"/>
        <v>28.59</v>
      </c>
      <c r="H7" s="88">
        <f>+H6</f>
        <v>641.34</v>
      </c>
      <c r="I7" s="88">
        <f t="shared" si="9"/>
        <v>641.34</v>
      </c>
      <c r="J7" s="88">
        <f t="shared" ref="J7:J9" si="18">+J6</f>
        <v>666.88</v>
      </c>
      <c r="K7" s="89">
        <f t="shared" si="10"/>
        <v>520.16640000000007</v>
      </c>
      <c r="L7" s="97">
        <f t="shared" si="16"/>
        <v>55</v>
      </c>
      <c r="M7" s="97">
        <f t="shared" si="11"/>
        <v>42.9</v>
      </c>
      <c r="N7" s="97">
        <f t="shared" si="11"/>
        <v>87</v>
      </c>
      <c r="O7" s="97">
        <f t="shared" si="11"/>
        <v>67.86</v>
      </c>
      <c r="P7" s="97">
        <f t="shared" si="11"/>
        <v>99</v>
      </c>
      <c r="Q7" s="97">
        <f t="shared" si="11"/>
        <v>77.22</v>
      </c>
      <c r="R7" s="97">
        <f t="shared" si="11"/>
        <v>118.8</v>
      </c>
      <c r="S7" s="97">
        <f t="shared" si="11"/>
        <v>92.664000000000001</v>
      </c>
      <c r="T7" s="97">
        <f t="shared" si="11"/>
        <v>188.8</v>
      </c>
      <c r="U7" s="97">
        <f t="shared" si="11"/>
        <v>147.26400000000001</v>
      </c>
      <c r="V7" s="97">
        <f t="shared" si="11"/>
        <v>141.38999999999999</v>
      </c>
      <c r="W7" s="97">
        <f t="shared" si="11"/>
        <v>471</v>
      </c>
      <c r="X7" s="97">
        <f t="shared" si="11"/>
        <v>33.119999999999997</v>
      </c>
      <c r="Y7" s="97">
        <f t="shared" si="12"/>
        <v>48.99</v>
      </c>
      <c r="Z7" s="97">
        <f t="shared" si="12"/>
        <v>111.9</v>
      </c>
      <c r="AA7" s="70">
        <f>IF([1]Datos!E$11=[1]Retribuciones!C7,[1]Retribuciones!AD7,0)</f>
        <v>0</v>
      </c>
      <c r="AB7" s="70" t="str">
        <f t="shared" si="0"/>
        <v/>
      </c>
      <c r="AC7" s="90">
        <f t="shared" si="17"/>
        <v>5</v>
      </c>
      <c r="AD7" s="91">
        <f t="shared" si="17"/>
        <v>10</v>
      </c>
      <c r="AE7" s="92" t="str">
        <f t="shared" si="17"/>
        <v>Isla Capitalina</v>
      </c>
      <c r="AF7" s="69"/>
      <c r="AG7" s="93">
        <f t="shared" si="1"/>
        <v>3305.17</v>
      </c>
      <c r="AH7" s="94">
        <f t="shared" si="2"/>
        <v>2051.4704000000002</v>
      </c>
      <c r="AI7" s="93">
        <f t="shared" si="13"/>
        <v>43764.980800000005</v>
      </c>
      <c r="AJ7" s="95">
        <f>+'[1]IRPF Secund'!B37</f>
        <v>0.20145853945549197</v>
      </c>
      <c r="AK7" s="93">
        <f t="shared" si="3"/>
        <v>665.85472085210836</v>
      </c>
      <c r="AL7" s="96">
        <f t="shared" si="4"/>
        <v>2478.4252791478921</v>
      </c>
      <c r="AM7" s="96">
        <f t="shared" si="5"/>
        <v>1079.1409513722824</v>
      </c>
      <c r="AN7" s="96">
        <f t="shared" si="6"/>
        <v>3955.719448627719</v>
      </c>
      <c r="AO7" s="96">
        <f t="shared" si="7"/>
        <v>8816.8291112656498</v>
      </c>
      <c r="AP7" s="96">
        <f t="shared" si="14"/>
        <v>32695.691688734354</v>
      </c>
      <c r="AR7" s="96">
        <f t="shared" si="8"/>
        <v>833.38</v>
      </c>
      <c r="AS7" s="69"/>
      <c r="AT7" s="69"/>
    </row>
    <row r="8" spans="1:46" hidden="1" x14ac:dyDescent="0.25">
      <c r="A8" s="86" t="s">
        <v>53</v>
      </c>
      <c r="B8" s="86">
        <v>24</v>
      </c>
      <c r="C8" s="87" t="s">
        <v>67</v>
      </c>
      <c r="D8" s="88">
        <f t="shared" si="15"/>
        <v>1203.56</v>
      </c>
      <c r="E8" s="88">
        <f t="shared" si="15"/>
        <v>742.7</v>
      </c>
      <c r="F8" s="88">
        <f t="shared" si="15"/>
        <v>46.32</v>
      </c>
      <c r="G8" s="88">
        <f t="shared" si="15"/>
        <v>28.59</v>
      </c>
      <c r="H8" s="88">
        <f>+H7</f>
        <v>641.34</v>
      </c>
      <c r="I8" s="88">
        <f t="shared" si="9"/>
        <v>641.34</v>
      </c>
      <c r="J8" s="88">
        <f t="shared" si="18"/>
        <v>666.88</v>
      </c>
      <c r="K8" s="89">
        <f t="shared" si="10"/>
        <v>520.16640000000007</v>
      </c>
      <c r="L8" s="97">
        <f t="shared" si="16"/>
        <v>55</v>
      </c>
      <c r="M8" s="97">
        <f t="shared" si="11"/>
        <v>42.9</v>
      </c>
      <c r="N8" s="97">
        <f t="shared" si="11"/>
        <v>87</v>
      </c>
      <c r="O8" s="97">
        <f t="shared" si="11"/>
        <v>67.86</v>
      </c>
      <c r="P8" s="97">
        <f t="shared" si="11"/>
        <v>99</v>
      </c>
      <c r="Q8" s="97">
        <f t="shared" si="11"/>
        <v>77.22</v>
      </c>
      <c r="R8" s="97">
        <f t="shared" si="11"/>
        <v>118.8</v>
      </c>
      <c r="S8" s="97">
        <f t="shared" si="11"/>
        <v>92.664000000000001</v>
      </c>
      <c r="T8" s="97">
        <f t="shared" si="11"/>
        <v>188.8</v>
      </c>
      <c r="U8" s="97">
        <f t="shared" si="11"/>
        <v>147.26400000000001</v>
      </c>
      <c r="V8" s="97">
        <f t="shared" si="11"/>
        <v>141.38999999999999</v>
      </c>
      <c r="W8" s="97">
        <f t="shared" si="11"/>
        <v>471</v>
      </c>
      <c r="X8" s="97">
        <f t="shared" si="11"/>
        <v>33.119999999999997</v>
      </c>
      <c r="Y8" s="97">
        <f t="shared" si="12"/>
        <v>48.99</v>
      </c>
      <c r="Z8" s="97">
        <f t="shared" si="12"/>
        <v>111.9</v>
      </c>
      <c r="AA8" s="70">
        <f>IF([1]Datos!E$11=[1]Retribuciones!C8,[1]Retribuciones!AD8,0)</f>
        <v>0</v>
      </c>
      <c r="AB8" s="70" t="str">
        <f t="shared" si="0"/>
        <v/>
      </c>
      <c r="AC8" s="90">
        <f t="shared" si="17"/>
        <v>5</v>
      </c>
      <c r="AD8" s="91">
        <f t="shared" si="17"/>
        <v>10</v>
      </c>
      <c r="AE8" s="92" t="str">
        <f t="shared" si="17"/>
        <v>Isla Capitalina</v>
      </c>
      <c r="AF8" s="69"/>
      <c r="AG8" s="93">
        <f t="shared" si="1"/>
        <v>3305.17</v>
      </c>
      <c r="AH8" s="94">
        <f t="shared" si="2"/>
        <v>2051.4704000000002</v>
      </c>
      <c r="AI8" s="93">
        <f t="shared" si="13"/>
        <v>43764.980800000005</v>
      </c>
      <c r="AJ8" s="95">
        <f>+'[1]IRPF Secund'!B37</f>
        <v>0.20145853945549197</v>
      </c>
      <c r="AK8" s="93">
        <f t="shared" si="3"/>
        <v>665.85472085210836</v>
      </c>
      <c r="AL8" s="96">
        <f t="shared" si="4"/>
        <v>2478.4252791478921</v>
      </c>
      <c r="AM8" s="96">
        <f t="shared" si="5"/>
        <v>1079.1409513722824</v>
      </c>
      <c r="AN8" s="96">
        <f t="shared" si="6"/>
        <v>3955.719448627719</v>
      </c>
      <c r="AO8" s="96">
        <f t="shared" si="7"/>
        <v>8816.8291112656498</v>
      </c>
      <c r="AP8" s="96">
        <f t="shared" si="14"/>
        <v>32695.691688734354</v>
      </c>
      <c r="AR8" s="96">
        <f t="shared" si="8"/>
        <v>833.38</v>
      </c>
      <c r="AS8" s="69"/>
      <c r="AT8" s="69"/>
    </row>
    <row r="9" spans="1:46" hidden="1" x14ac:dyDescent="0.25">
      <c r="A9" s="86" t="s">
        <v>53</v>
      </c>
      <c r="B9" s="86">
        <v>24</v>
      </c>
      <c r="C9" s="87" t="s">
        <v>81</v>
      </c>
      <c r="D9" s="88">
        <f t="shared" si="15"/>
        <v>1203.56</v>
      </c>
      <c r="E9" s="88">
        <f t="shared" si="15"/>
        <v>742.7</v>
      </c>
      <c r="F9" s="88">
        <f t="shared" si="15"/>
        <v>46.32</v>
      </c>
      <c r="G9" s="88">
        <f t="shared" si="15"/>
        <v>28.59</v>
      </c>
      <c r="H9" s="88">
        <f>+H8</f>
        <v>641.34</v>
      </c>
      <c r="I9" s="88">
        <f t="shared" si="9"/>
        <v>641.34</v>
      </c>
      <c r="J9" s="88">
        <f t="shared" si="18"/>
        <v>666.88</v>
      </c>
      <c r="K9" s="89">
        <f t="shared" si="10"/>
        <v>520.16640000000007</v>
      </c>
      <c r="L9" s="97">
        <f t="shared" si="16"/>
        <v>55</v>
      </c>
      <c r="M9" s="97">
        <f t="shared" si="11"/>
        <v>42.9</v>
      </c>
      <c r="N9" s="97">
        <f t="shared" si="11"/>
        <v>87</v>
      </c>
      <c r="O9" s="97">
        <f t="shared" si="11"/>
        <v>67.86</v>
      </c>
      <c r="P9" s="97">
        <f t="shared" si="11"/>
        <v>99</v>
      </c>
      <c r="Q9" s="97">
        <f t="shared" si="11"/>
        <v>77.22</v>
      </c>
      <c r="R9" s="97">
        <f t="shared" si="11"/>
        <v>118.8</v>
      </c>
      <c r="S9" s="97">
        <f t="shared" si="11"/>
        <v>92.664000000000001</v>
      </c>
      <c r="T9" s="97">
        <f t="shared" si="11"/>
        <v>188.8</v>
      </c>
      <c r="U9" s="97">
        <f t="shared" si="11"/>
        <v>147.26400000000001</v>
      </c>
      <c r="V9" s="97">
        <f t="shared" si="11"/>
        <v>141.38999999999999</v>
      </c>
      <c r="W9" s="97">
        <f t="shared" si="11"/>
        <v>471</v>
      </c>
      <c r="X9" s="97">
        <f t="shared" si="11"/>
        <v>33.119999999999997</v>
      </c>
      <c r="Y9" s="97">
        <f t="shared" si="12"/>
        <v>48.99</v>
      </c>
      <c r="Z9" s="97">
        <f t="shared" si="12"/>
        <v>111.9</v>
      </c>
      <c r="AA9" s="70">
        <f>IF([1]Datos!E$11=[1]Retribuciones!C9,[1]Retribuciones!AD9,0)</f>
        <v>10</v>
      </c>
      <c r="AB9" s="70" t="str">
        <f t="shared" si="0"/>
        <v>A1</v>
      </c>
      <c r="AC9" s="90">
        <f t="shared" si="17"/>
        <v>5</v>
      </c>
      <c r="AD9" s="91">
        <f t="shared" si="17"/>
        <v>10</v>
      </c>
      <c r="AE9" s="92" t="str">
        <f t="shared" si="17"/>
        <v>Isla Capitalina</v>
      </c>
      <c r="AF9" s="69"/>
      <c r="AG9" s="93">
        <f t="shared" si="1"/>
        <v>3305.17</v>
      </c>
      <c r="AH9" s="94">
        <f t="shared" si="2"/>
        <v>2051.4704000000002</v>
      </c>
      <c r="AI9" s="93">
        <f t="shared" si="13"/>
        <v>43764.980800000005</v>
      </c>
      <c r="AJ9" s="95">
        <f>+'[1]IRPF Secund'!B37</f>
        <v>0.20145853945549197</v>
      </c>
      <c r="AK9" s="93">
        <f t="shared" si="3"/>
        <v>665.85472085210836</v>
      </c>
      <c r="AL9" s="96">
        <f t="shared" si="4"/>
        <v>2478.4252791478921</v>
      </c>
      <c r="AM9" s="96">
        <f t="shared" si="5"/>
        <v>1079.1409513722824</v>
      </c>
      <c r="AN9" s="96">
        <f t="shared" si="6"/>
        <v>3955.719448627719</v>
      </c>
      <c r="AO9" s="96">
        <f t="shared" si="7"/>
        <v>8816.8291112656498</v>
      </c>
      <c r="AP9" s="96">
        <f t="shared" si="14"/>
        <v>32695.691688734354</v>
      </c>
      <c r="AR9" s="96">
        <f t="shared" si="8"/>
        <v>833.38</v>
      </c>
      <c r="AS9" s="69"/>
      <c r="AT9" s="69"/>
    </row>
    <row r="10" spans="1:46" hidden="1" x14ac:dyDescent="0.25">
      <c r="A10" s="86" t="s">
        <v>80</v>
      </c>
      <c r="B10" s="86">
        <v>24</v>
      </c>
      <c r="C10" s="87" t="s">
        <v>69</v>
      </c>
      <c r="D10" s="110">
        <f>+J26</f>
        <v>1040.69</v>
      </c>
      <c r="E10" s="110">
        <f>+J27</f>
        <v>759</v>
      </c>
      <c r="F10" s="110">
        <f>+J28</f>
        <v>37.78</v>
      </c>
      <c r="G10" s="110">
        <f>+J29</f>
        <v>27.54</v>
      </c>
      <c r="H10" s="88">
        <f>+H9</f>
        <v>641.34</v>
      </c>
      <c r="I10" s="88">
        <f>+H10</f>
        <v>641.34</v>
      </c>
      <c r="J10" s="103">
        <f>+J32</f>
        <v>668.9</v>
      </c>
      <c r="K10" s="89">
        <f t="shared" si="10"/>
        <v>521.74199999999996</v>
      </c>
      <c r="L10" s="97">
        <f t="shared" si="16"/>
        <v>55</v>
      </c>
      <c r="M10" s="97">
        <f t="shared" si="11"/>
        <v>42.9</v>
      </c>
      <c r="N10" s="97">
        <f t="shared" si="11"/>
        <v>87</v>
      </c>
      <c r="O10" s="97">
        <f t="shared" si="11"/>
        <v>67.86</v>
      </c>
      <c r="P10" s="97">
        <f t="shared" si="11"/>
        <v>99</v>
      </c>
      <c r="Q10" s="97">
        <f t="shared" si="11"/>
        <v>77.22</v>
      </c>
      <c r="R10" s="97">
        <f t="shared" si="11"/>
        <v>118.8</v>
      </c>
      <c r="S10" s="97">
        <f t="shared" si="11"/>
        <v>92.664000000000001</v>
      </c>
      <c r="T10" s="97">
        <f t="shared" si="11"/>
        <v>188.8</v>
      </c>
      <c r="U10" s="97">
        <f t="shared" si="11"/>
        <v>147.26400000000001</v>
      </c>
      <c r="V10" s="110">
        <f>+J44</f>
        <v>127.27</v>
      </c>
      <c r="W10" s="110">
        <f>+J45</f>
        <v>423.92</v>
      </c>
      <c r="X10" s="110">
        <f>+J46</f>
        <v>29.78</v>
      </c>
      <c r="Y10" s="112">
        <f>+J47</f>
        <v>38.56</v>
      </c>
      <c r="Z10" s="112">
        <f>+J48</f>
        <v>88.07</v>
      </c>
      <c r="AA10" s="70">
        <f>IF([1]Datos!E$11=[1]Retribuciones!C10,[1]Retribuciones!AD10,0)</f>
        <v>0</v>
      </c>
      <c r="AB10" s="70" t="str">
        <f t="shared" si="0"/>
        <v/>
      </c>
      <c r="AC10" s="90">
        <f t="shared" si="17"/>
        <v>5</v>
      </c>
      <c r="AD10" s="91">
        <f>+'[1]Tiempos de cotización'!K6</f>
        <v>0</v>
      </c>
      <c r="AE10" s="92" t="str">
        <f t="shared" si="17"/>
        <v>Isla Capitalina</v>
      </c>
      <c r="AF10" s="69"/>
      <c r="AG10" s="93">
        <f t="shared" si="1"/>
        <v>3130.2000000000003</v>
      </c>
      <c r="AH10" s="94">
        <f t="shared" si="2"/>
        <v>2069.346</v>
      </c>
      <c r="AI10" s="93">
        <f t="shared" si="13"/>
        <v>41701.092000000004</v>
      </c>
      <c r="AJ10" s="95">
        <f>'[1]IRPF TecnFP'!B37</f>
        <v>0.19764910426018828</v>
      </c>
      <c r="AK10" s="93">
        <f t="shared" si="3"/>
        <v>618.68122615524146</v>
      </c>
      <c r="AL10" s="96">
        <f t="shared" si="4"/>
        <v>2384.8887738447588</v>
      </c>
      <c r="AM10" s="96">
        <f t="shared" si="5"/>
        <v>1027.6856094596451</v>
      </c>
      <c r="AN10" s="96">
        <f t="shared" si="6"/>
        <v>3918.600390540355</v>
      </c>
      <c r="AO10" s="96">
        <f t="shared" si="7"/>
        <v>8242.1834804717037</v>
      </c>
      <c r="AP10" s="96">
        <f t="shared" si="14"/>
        <v>31686.088519528301</v>
      </c>
      <c r="AR10" s="96">
        <f>+((D10+(F$19*AA$19)+(F$18*AA$18))/2)</f>
        <v>751.94500000000005</v>
      </c>
      <c r="AS10" s="69"/>
      <c r="AT10" s="69"/>
    </row>
    <row r="11" spans="1:46" hidden="1" x14ac:dyDescent="0.25">
      <c r="A11" s="86" t="s">
        <v>80</v>
      </c>
      <c r="B11" s="86">
        <v>24</v>
      </c>
      <c r="C11" s="87" t="s">
        <v>66</v>
      </c>
      <c r="D11" s="88">
        <f t="shared" ref="D11:G13" si="19">+D10</f>
        <v>1040.69</v>
      </c>
      <c r="E11" s="88">
        <f t="shared" si="19"/>
        <v>759</v>
      </c>
      <c r="F11" s="88">
        <f t="shared" si="19"/>
        <v>37.78</v>
      </c>
      <c r="G11" s="88">
        <f t="shared" si="19"/>
        <v>27.54</v>
      </c>
      <c r="H11" s="88">
        <f>+H10</f>
        <v>641.34</v>
      </c>
      <c r="I11" s="88">
        <f t="shared" si="9"/>
        <v>641.34</v>
      </c>
      <c r="J11" s="88">
        <f>+J10</f>
        <v>668.9</v>
      </c>
      <c r="K11" s="89">
        <f t="shared" si="10"/>
        <v>521.74199999999996</v>
      </c>
      <c r="L11" s="97">
        <f t="shared" si="16"/>
        <v>55</v>
      </c>
      <c r="M11" s="97">
        <f t="shared" si="11"/>
        <v>42.9</v>
      </c>
      <c r="N11" s="97">
        <f t="shared" si="11"/>
        <v>87</v>
      </c>
      <c r="O11" s="97">
        <f t="shared" si="11"/>
        <v>67.86</v>
      </c>
      <c r="P11" s="97">
        <f t="shared" si="11"/>
        <v>99</v>
      </c>
      <c r="Q11" s="97">
        <f t="shared" si="11"/>
        <v>77.22</v>
      </c>
      <c r="R11" s="97">
        <f t="shared" si="11"/>
        <v>118.8</v>
      </c>
      <c r="S11" s="97">
        <f t="shared" si="11"/>
        <v>92.664000000000001</v>
      </c>
      <c r="T11" s="97">
        <f t="shared" si="11"/>
        <v>188.8</v>
      </c>
      <c r="U11" s="97">
        <f t="shared" si="11"/>
        <v>147.26400000000001</v>
      </c>
      <c r="V11" s="97">
        <f t="shared" si="11"/>
        <v>127.27</v>
      </c>
      <c r="W11" s="97">
        <f t="shared" si="11"/>
        <v>423.92</v>
      </c>
      <c r="X11" s="97">
        <f t="shared" si="11"/>
        <v>29.78</v>
      </c>
      <c r="Y11" s="97">
        <f t="shared" si="11"/>
        <v>38.56</v>
      </c>
      <c r="Z11" s="97">
        <f t="shared" si="11"/>
        <v>88.07</v>
      </c>
      <c r="AA11" s="70">
        <f>IF([1]Datos!E$11=[1]Retribuciones!C11,[1]Retribuciones!AD11,0)</f>
        <v>0</v>
      </c>
      <c r="AB11" s="70" t="str">
        <f t="shared" si="0"/>
        <v/>
      </c>
      <c r="AC11" s="90">
        <f t="shared" si="17"/>
        <v>5</v>
      </c>
      <c r="AD11" s="91">
        <f>+AD10</f>
        <v>0</v>
      </c>
      <c r="AE11" s="92" t="str">
        <f t="shared" si="17"/>
        <v>Isla Capitalina</v>
      </c>
      <c r="AF11" s="69"/>
      <c r="AG11" s="93">
        <f t="shared" si="1"/>
        <v>3130.2000000000003</v>
      </c>
      <c r="AH11" s="94">
        <f t="shared" si="2"/>
        <v>2069.346</v>
      </c>
      <c r="AI11" s="93">
        <f t="shared" si="13"/>
        <v>41701.092000000004</v>
      </c>
      <c r="AJ11" s="95">
        <f>+'[1]IRPF TecnFP'!B37</f>
        <v>0.19764910426018828</v>
      </c>
      <c r="AK11" s="93">
        <f t="shared" si="3"/>
        <v>618.68122615524146</v>
      </c>
      <c r="AL11" s="96">
        <f t="shared" si="4"/>
        <v>2384.8887738447588</v>
      </c>
      <c r="AM11" s="96">
        <f t="shared" si="5"/>
        <v>1027.6856094596451</v>
      </c>
      <c r="AN11" s="96">
        <f t="shared" si="6"/>
        <v>3918.600390540355</v>
      </c>
      <c r="AO11" s="96">
        <f t="shared" si="7"/>
        <v>8242.1834804717037</v>
      </c>
      <c r="AP11" s="96">
        <f t="shared" si="14"/>
        <v>31686.088519528301</v>
      </c>
      <c r="AR11" s="96">
        <f t="shared" si="8"/>
        <v>751.94500000000005</v>
      </c>
      <c r="AS11" s="69"/>
      <c r="AT11" s="69"/>
    </row>
    <row r="12" spans="1:46" hidden="1" x14ac:dyDescent="0.25">
      <c r="A12" s="86" t="s">
        <v>80</v>
      </c>
      <c r="B12" s="86">
        <v>21</v>
      </c>
      <c r="C12" s="87" t="s">
        <v>170</v>
      </c>
      <c r="D12" s="88">
        <f t="shared" si="19"/>
        <v>1040.69</v>
      </c>
      <c r="E12" s="88">
        <f t="shared" si="19"/>
        <v>759</v>
      </c>
      <c r="F12" s="88">
        <f t="shared" si="19"/>
        <v>37.78</v>
      </c>
      <c r="G12" s="88">
        <f t="shared" si="19"/>
        <v>27.54</v>
      </c>
      <c r="H12" s="103">
        <f>+L30</f>
        <v>520.79</v>
      </c>
      <c r="I12" s="88">
        <f t="shared" si="9"/>
        <v>520.79</v>
      </c>
      <c r="J12" s="103">
        <f>+M32</f>
        <v>789.46</v>
      </c>
      <c r="K12" s="89">
        <f t="shared" si="10"/>
        <v>615.77880000000005</v>
      </c>
      <c r="L12" s="97">
        <f t="shared" si="16"/>
        <v>55</v>
      </c>
      <c r="M12" s="97">
        <f t="shared" si="11"/>
        <v>42.9</v>
      </c>
      <c r="N12" s="97">
        <f t="shared" si="11"/>
        <v>87</v>
      </c>
      <c r="O12" s="97">
        <f t="shared" si="11"/>
        <v>67.86</v>
      </c>
      <c r="P12" s="97">
        <f t="shared" si="11"/>
        <v>99</v>
      </c>
      <c r="Q12" s="97">
        <f t="shared" si="11"/>
        <v>77.22</v>
      </c>
      <c r="R12" s="97">
        <f t="shared" si="11"/>
        <v>118.8</v>
      </c>
      <c r="S12" s="97">
        <f t="shared" si="11"/>
        <v>92.664000000000001</v>
      </c>
      <c r="T12" s="97">
        <f t="shared" si="11"/>
        <v>188.8</v>
      </c>
      <c r="U12" s="97">
        <f t="shared" si="11"/>
        <v>147.26400000000001</v>
      </c>
      <c r="V12" s="97">
        <f t="shared" si="11"/>
        <v>127.27</v>
      </c>
      <c r="W12" s="97">
        <f t="shared" si="11"/>
        <v>423.92</v>
      </c>
      <c r="X12" s="97">
        <f t="shared" si="11"/>
        <v>29.78</v>
      </c>
      <c r="Y12" s="97">
        <f t="shared" si="11"/>
        <v>38.56</v>
      </c>
      <c r="Z12" s="97">
        <f t="shared" si="11"/>
        <v>88.07</v>
      </c>
      <c r="AA12" s="70">
        <f>IF([1]Datos!E$11=[1]Retribuciones!C12,[1]Retribuciones!AD12,0)</f>
        <v>0</v>
      </c>
      <c r="AB12" s="70" t="str">
        <f t="shared" si="0"/>
        <v/>
      </c>
      <c r="AC12" s="90">
        <f t="shared" si="17"/>
        <v>5</v>
      </c>
      <c r="AD12" s="91">
        <f t="shared" si="17"/>
        <v>0</v>
      </c>
      <c r="AE12" s="92" t="str">
        <f t="shared" si="17"/>
        <v>Isla Capitalina</v>
      </c>
      <c r="AF12" s="69"/>
      <c r="AG12" s="93">
        <f t="shared" si="1"/>
        <v>3130.2100000000005</v>
      </c>
      <c r="AH12" s="94">
        <f>+E12+(G$15*AA$15)+(G$16*AA$16)+(G$17*AA$17)+(G$18*AA$18)+(G$19*AA$19)+(IF(AC12=M$2,M12,IF(AC12=O$2,O12,IF(AC12=Q$2,Q12,IF(AC12=S$2,S12,IF(AC12&gt;S$2,U12,0))))))+I12+K12</f>
        <v>2042.8328000000001</v>
      </c>
      <c r="AI12" s="93">
        <f t="shared" si="13"/>
        <v>41648.185600000004</v>
      </c>
      <c r="AJ12" s="95">
        <f>+'[1]IRPF 1º y 2ª ESO'!B37</f>
        <v>0.19742671928307923</v>
      </c>
      <c r="AK12" s="93">
        <f t="shared" si="3"/>
        <v>617.98709096708751</v>
      </c>
      <c r="AL12" s="96">
        <f t="shared" si="4"/>
        <v>2385.5929090329128</v>
      </c>
      <c r="AM12" s="96">
        <f t="shared" si="5"/>
        <v>1021.2968687149544</v>
      </c>
      <c r="AN12" s="96">
        <f t="shared" si="6"/>
        <v>3898.4859312850467</v>
      </c>
      <c r="AO12" s="96">
        <f t="shared" si="7"/>
        <v>8222.4646471007836</v>
      </c>
      <c r="AP12" s="96">
        <f t="shared" si="14"/>
        <v>31652.900952899221</v>
      </c>
      <c r="AR12" s="96">
        <f t="shared" si="8"/>
        <v>751.94500000000005</v>
      </c>
      <c r="AS12" s="69"/>
      <c r="AT12" s="69"/>
    </row>
    <row r="13" spans="1:46" hidden="1" x14ac:dyDescent="0.25">
      <c r="A13" s="86" t="s">
        <v>80</v>
      </c>
      <c r="B13" s="86">
        <v>21</v>
      </c>
      <c r="C13" s="87" t="s">
        <v>70</v>
      </c>
      <c r="D13" s="88">
        <f t="shared" si="19"/>
        <v>1040.69</v>
      </c>
      <c r="E13" s="88">
        <f t="shared" si="19"/>
        <v>759</v>
      </c>
      <c r="F13" s="88">
        <f t="shared" si="19"/>
        <v>37.78</v>
      </c>
      <c r="G13" s="88">
        <f t="shared" si="19"/>
        <v>27.54</v>
      </c>
      <c r="H13" s="88">
        <f>+H12</f>
        <v>520.79</v>
      </c>
      <c r="I13" s="88">
        <f t="shared" si="9"/>
        <v>520.79</v>
      </c>
      <c r="J13" s="103">
        <v>694.41042499999992</v>
      </c>
      <c r="K13" s="89">
        <f t="shared" si="10"/>
        <v>541.64013149999994</v>
      </c>
      <c r="L13" s="97">
        <f t="shared" si="16"/>
        <v>55</v>
      </c>
      <c r="M13" s="97">
        <f t="shared" si="11"/>
        <v>42.9</v>
      </c>
      <c r="N13" s="97">
        <f t="shared" si="11"/>
        <v>87</v>
      </c>
      <c r="O13" s="97">
        <f t="shared" si="11"/>
        <v>67.86</v>
      </c>
      <c r="P13" s="97">
        <f t="shared" si="11"/>
        <v>99</v>
      </c>
      <c r="Q13" s="97">
        <f t="shared" si="11"/>
        <v>77.22</v>
      </c>
      <c r="R13" s="97">
        <f t="shared" si="11"/>
        <v>118.8</v>
      </c>
      <c r="S13" s="97">
        <f t="shared" si="11"/>
        <v>92.664000000000001</v>
      </c>
      <c r="T13" s="97">
        <f t="shared" si="11"/>
        <v>188.8</v>
      </c>
      <c r="U13" s="97">
        <f t="shared" si="11"/>
        <v>147.26400000000001</v>
      </c>
      <c r="V13" s="97">
        <f t="shared" si="11"/>
        <v>127.27</v>
      </c>
      <c r="W13" s="97">
        <f t="shared" si="11"/>
        <v>423.92</v>
      </c>
      <c r="X13" s="97">
        <f t="shared" si="11"/>
        <v>29.78</v>
      </c>
      <c r="Y13" s="97">
        <f t="shared" si="11"/>
        <v>38.56</v>
      </c>
      <c r="Z13" s="97">
        <f t="shared" si="11"/>
        <v>88.07</v>
      </c>
      <c r="AA13" s="70">
        <f>IF([1]Datos!E$11=[1]Retribuciones!C13,[1]Retribuciones!AD13,0)</f>
        <v>0</v>
      </c>
      <c r="AB13" s="70" t="str">
        <f>IF(AA13&gt;0,A13,"")</f>
        <v/>
      </c>
      <c r="AC13" s="90">
        <f t="shared" si="17"/>
        <v>5</v>
      </c>
      <c r="AD13" s="91">
        <f t="shared" si="17"/>
        <v>0</v>
      </c>
      <c r="AE13" s="92" t="str">
        <f t="shared" si="17"/>
        <v>Isla Capitalina</v>
      </c>
      <c r="AF13" s="69"/>
      <c r="AG13" s="93">
        <f>+D13+((F$15*AA$15)+(F$16*AA$16)+(F$17*AA$17)+(F$18*AA$18)+(F$19*AA$19))+H13+J13+(IF(AC13=L$2,L13,IF(AC13=N$2,N13,IF(AC13=P$2,P13,IF(AC13=R$2,R13,IF(AC13&gt;R$2,T13,0))))))+(IF(AE13=V$3,V13,W13+(X$15*AA$15)+(X$16*AA$16)+(X$17*AA$17)+(X$18*AA$18)+(X$19*AA$19)))</f>
        <v>3035.160425</v>
      </c>
      <c r="AH13" s="94">
        <f>+E13+(G$15*AA$15)+(G$16*AA$16)+(G$17*AA$17)+(G$18*AA$18)+(G$19*AA$19)+(IF(AC13=M$2,M13,IF(AC13=O$2,O13,IF(AC13=Q$2,Q13,IF(AC13=S$2,S13,IF(AC13&gt;S$2,U13,0))))))+I13+K13</f>
        <v>1968.6941314999999</v>
      </c>
      <c r="AI13" s="93">
        <f>+(AG13*12)+(AH13*2)</f>
        <v>40359.313363000001</v>
      </c>
      <c r="AJ13" s="95">
        <f>+'[1]IRPF Maestros'!B37</f>
        <v>0.19440379057901822</v>
      </c>
      <c r="AK13" s="93">
        <f t="shared" si="3"/>
        <v>590.04669163542394</v>
      </c>
      <c r="AL13" s="96">
        <f t="shared" si="4"/>
        <v>2318.483733364576</v>
      </c>
      <c r="AM13" s="96">
        <f>(+AG13+AH13)*AJ13</f>
        <v>972.76829328969211</v>
      </c>
      <c r="AN13" s="96">
        <f>(+AG13+AH13)-Y13-Y13-Z13-Z13-AM13</f>
        <v>3777.8262632103078</v>
      </c>
      <c r="AO13" s="96">
        <f t="shared" si="7"/>
        <v>7846.0035029336232</v>
      </c>
      <c r="AP13" s="96">
        <f t="shared" si="14"/>
        <v>30740.48986006638</v>
      </c>
      <c r="AR13" s="96">
        <f>+((D13+(F$19*AA$19)+(F$18*AA$18))/2)</f>
        <v>751.94500000000005</v>
      </c>
      <c r="AS13" s="69"/>
      <c r="AT13" s="69"/>
    </row>
    <row r="14" spans="1:46" hidden="1" x14ac:dyDescent="0.25">
      <c r="A14" s="86" t="s">
        <v>128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70">
        <f>+AD14</f>
        <v>0</v>
      </c>
      <c r="AB14" s="70"/>
      <c r="AC14" s="98"/>
      <c r="AD14" s="91">
        <f>+'[1]Tiempos de cotización'!K7</f>
        <v>0</v>
      </c>
      <c r="AE14" s="92" t="str">
        <f t="shared" si="17"/>
        <v>Isla Capitalina</v>
      </c>
      <c r="AF14" s="69"/>
      <c r="AG14" s="69"/>
      <c r="AH14" s="69"/>
      <c r="AI14" s="69"/>
      <c r="AP14" s="43"/>
      <c r="AS14" s="69"/>
      <c r="AT14" s="69"/>
    </row>
    <row r="15" spans="1:46" hidden="1" x14ac:dyDescent="0.25">
      <c r="A15" s="86" t="s">
        <v>127</v>
      </c>
      <c r="B15" s="69"/>
      <c r="C15" s="69"/>
      <c r="D15" s="69"/>
      <c r="E15" s="69"/>
      <c r="F15" s="110">
        <v>27.95</v>
      </c>
      <c r="G15" s="110">
        <v>24.14</v>
      </c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104">
        <v>100.3</v>
      </c>
      <c r="W15" s="104">
        <v>333.98</v>
      </c>
      <c r="X15" s="105">
        <v>23.52</v>
      </c>
      <c r="Y15" s="69"/>
      <c r="Z15" s="69"/>
      <c r="AA15" s="70">
        <f>+AD15</f>
        <v>0</v>
      </c>
      <c r="AB15" s="70"/>
      <c r="AC15" s="98"/>
      <c r="AD15" s="91">
        <f>+'[1]Tiempos de cotización'!K8</f>
        <v>0</v>
      </c>
      <c r="AE15" s="92" t="str">
        <f t="shared" si="17"/>
        <v>Isla Capitalina</v>
      </c>
      <c r="AF15" s="69"/>
      <c r="AG15" s="69"/>
      <c r="AH15" s="69"/>
      <c r="AI15" s="69"/>
      <c r="AS15" s="69"/>
      <c r="AT15" s="69"/>
    </row>
    <row r="16" spans="1:46" hidden="1" x14ac:dyDescent="0.25">
      <c r="A16" s="86" t="s">
        <v>126</v>
      </c>
      <c r="B16" s="69"/>
      <c r="C16" s="69"/>
      <c r="D16" s="69"/>
      <c r="E16" s="69"/>
      <c r="F16" s="110">
        <v>19.02</v>
      </c>
      <c r="G16" s="110">
        <v>18.84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104">
        <v>65.72</v>
      </c>
      <c r="W16" s="104">
        <v>218.86</v>
      </c>
      <c r="X16" s="105">
        <v>15.44</v>
      </c>
      <c r="Y16" s="69"/>
      <c r="Z16" s="69"/>
      <c r="AA16" s="70">
        <f t="shared" ref="AA16:AA19" si="20">+AD16</f>
        <v>0</v>
      </c>
      <c r="AB16" s="70"/>
      <c r="AC16" s="98"/>
      <c r="AD16" s="91">
        <f>+'[1]Tiempos de cotización'!K9</f>
        <v>0</v>
      </c>
      <c r="AE16" s="92" t="str">
        <f t="shared" si="17"/>
        <v>Isla Capitalina</v>
      </c>
      <c r="AF16" s="69"/>
      <c r="AG16" s="69"/>
      <c r="AH16" s="69"/>
      <c r="AI16" s="69"/>
      <c r="AS16" s="69"/>
      <c r="AT16" s="69"/>
    </row>
    <row r="17" spans="1:48" hidden="1" x14ac:dyDescent="0.25">
      <c r="A17" s="86" t="s">
        <v>125</v>
      </c>
      <c r="B17" s="69"/>
      <c r="C17" s="69"/>
      <c r="D17" s="69"/>
      <c r="E17" s="69"/>
      <c r="F17" s="110">
        <v>14.32</v>
      </c>
      <c r="G17" s="110">
        <v>14.32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104">
        <v>51.92</v>
      </c>
      <c r="W17" s="104">
        <v>172.79</v>
      </c>
      <c r="X17" s="105">
        <v>12.22</v>
      </c>
      <c r="Y17" s="69"/>
      <c r="Z17" s="69"/>
      <c r="AA17" s="70">
        <f t="shared" si="20"/>
        <v>0</v>
      </c>
      <c r="AB17" s="70"/>
      <c r="AC17" s="98"/>
      <c r="AD17" s="91">
        <f>+'[1]Tiempos de cotización'!K10</f>
        <v>0</v>
      </c>
      <c r="AE17" s="92" t="str">
        <f t="shared" si="17"/>
        <v>Isla Capitalina</v>
      </c>
      <c r="AF17" s="69"/>
      <c r="AG17" s="69"/>
      <c r="AH17" s="69"/>
      <c r="AI17" s="69"/>
      <c r="AS17" s="69"/>
      <c r="AT17" s="69"/>
    </row>
    <row r="18" spans="1:48" hidden="1" x14ac:dyDescent="0.25">
      <c r="A18" s="86" t="s">
        <v>53</v>
      </c>
      <c r="B18" s="69"/>
      <c r="C18" s="69"/>
      <c r="D18" s="69"/>
      <c r="E18" s="69"/>
      <c r="F18" s="110">
        <f>+F4</f>
        <v>46.32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103">
        <f>+X4</f>
        <v>41.34</v>
      </c>
      <c r="Y18" s="69"/>
      <c r="Z18" s="69"/>
      <c r="AA18" s="70">
        <f t="shared" si="20"/>
        <v>10</v>
      </c>
      <c r="AC18" s="69"/>
      <c r="AD18" s="91">
        <f>+'[1]Tiempos de cotización'!K5</f>
        <v>10</v>
      </c>
      <c r="AE18" s="92" t="str">
        <f t="shared" si="17"/>
        <v>Isla Capitalina</v>
      </c>
      <c r="AF18" s="69"/>
      <c r="AG18" s="69"/>
      <c r="AH18" s="69"/>
      <c r="AI18" s="69"/>
      <c r="AJ18" s="69"/>
      <c r="AK18" s="69"/>
      <c r="AL18" s="69"/>
      <c r="AM18" s="69"/>
      <c r="AS18" s="69"/>
      <c r="AT18" s="69"/>
    </row>
    <row r="19" spans="1:48" hidden="1" x14ac:dyDescent="0.25">
      <c r="A19" s="86" t="s">
        <v>80</v>
      </c>
      <c r="B19" s="69"/>
      <c r="C19" s="69"/>
      <c r="D19" s="69"/>
      <c r="E19" s="69"/>
      <c r="F19" s="110">
        <f>+F10</f>
        <v>37.78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103">
        <f>+X10</f>
        <v>29.78</v>
      </c>
      <c r="Y19" s="69"/>
      <c r="Z19" s="69"/>
      <c r="AA19" s="70">
        <f t="shared" si="20"/>
        <v>0</v>
      </c>
      <c r="AC19" s="69"/>
      <c r="AD19" s="91">
        <f>+'[1]Tiempos de cotización'!K6</f>
        <v>0</v>
      </c>
      <c r="AE19" s="92" t="str">
        <f t="shared" si="17"/>
        <v>Isla Capitalina</v>
      </c>
      <c r="AF19" s="69"/>
      <c r="AG19" s="69"/>
      <c r="AH19" s="69"/>
      <c r="AI19" s="69"/>
      <c r="AJ19" s="69"/>
      <c r="AK19" s="69"/>
      <c r="AL19" s="69"/>
      <c r="AM19" s="69"/>
      <c r="AS19" s="69"/>
      <c r="AT19" s="69"/>
    </row>
    <row r="20" spans="1:48" hidden="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C20" s="69"/>
      <c r="AD20" s="69"/>
      <c r="AE20" s="69"/>
      <c r="AF20" s="69"/>
      <c r="AG20" s="101"/>
      <c r="AH20" s="69"/>
      <c r="AI20" s="69"/>
      <c r="AJ20" s="69"/>
      <c r="AK20" s="69"/>
      <c r="AL20" s="69"/>
      <c r="AM20" s="69"/>
      <c r="AS20" s="69"/>
      <c r="AT20" s="69"/>
    </row>
    <row r="21" spans="1:48" hidden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</row>
    <row r="22" spans="1:48" hidden="1" x14ac:dyDescent="0.25">
      <c r="A22" s="69"/>
      <c r="B22" s="69"/>
      <c r="N22" s="69"/>
      <c r="O22" s="69"/>
      <c r="P22" s="127" t="str">
        <f>+Nómina!C10</f>
        <v>N</v>
      </c>
      <c r="R22" s="69"/>
      <c r="S22" s="69"/>
      <c r="T22" s="69"/>
      <c r="U22" s="69"/>
      <c r="V22" s="69"/>
      <c r="W22" s="69"/>
      <c r="X22" s="9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</row>
    <row r="23" spans="1:48" ht="78.75" x14ac:dyDescent="0.25">
      <c r="A23" s="69"/>
      <c r="B23" s="69"/>
      <c r="C23" s="84" t="s">
        <v>124</v>
      </c>
      <c r="D23" s="35" t="s">
        <v>71</v>
      </c>
      <c r="E23" s="35" t="s">
        <v>72</v>
      </c>
      <c r="F23" s="35" t="s">
        <v>73</v>
      </c>
      <c r="G23" s="35" t="s">
        <v>75</v>
      </c>
      <c r="H23" s="35" t="s">
        <v>76</v>
      </c>
      <c r="I23" s="35" t="s">
        <v>77</v>
      </c>
      <c r="J23" s="35" t="s">
        <v>74</v>
      </c>
      <c r="K23" s="35" t="s">
        <v>78</v>
      </c>
      <c r="L23" s="35" t="s">
        <v>79</v>
      </c>
      <c r="M23" s="124" t="s">
        <v>170</v>
      </c>
      <c r="N23" s="69"/>
      <c r="O23" s="69"/>
      <c r="P23" s="35" t="str">
        <f>+Nómina!C5</f>
        <v>590-Profesores Enseñanza Secundaria</v>
      </c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</row>
    <row r="24" spans="1:48" x14ac:dyDescent="0.25">
      <c r="A24" s="69"/>
      <c r="B24" s="69"/>
      <c r="C24" s="125" t="s">
        <v>1</v>
      </c>
      <c r="D24" s="86" t="s">
        <v>53</v>
      </c>
      <c r="E24" s="86" t="s">
        <v>53</v>
      </c>
      <c r="F24" s="86" t="s">
        <v>53</v>
      </c>
      <c r="G24" s="86" t="s">
        <v>53</v>
      </c>
      <c r="H24" s="86" t="s">
        <v>53</v>
      </c>
      <c r="I24" s="86" t="s">
        <v>53</v>
      </c>
      <c r="J24" s="86" t="s">
        <v>80</v>
      </c>
      <c r="K24" s="86" t="s">
        <v>80</v>
      </c>
      <c r="L24" s="86" t="s">
        <v>80</v>
      </c>
      <c r="M24" s="86" t="s">
        <v>80</v>
      </c>
      <c r="N24" s="69"/>
      <c r="O24" s="69"/>
      <c r="P24" s="84" t="str">
        <f>IF(P$23=D$23,D24,IF(P$23=E$23,E24,IF(P$23=F$23,F24,IF(P$23=G$23,G24,IF(P$23=H$23,H24,IF(P$23=I$23,I24,IF(P$23=J$23,J24,IF(P$23=K$23,K24,IF(P$23=L$23,L24,IF(P$23=M$23,M24,666))))))))))</f>
        <v>A1</v>
      </c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135" t="s">
        <v>193</v>
      </c>
    </row>
    <row r="25" spans="1:48" x14ac:dyDescent="0.25">
      <c r="A25" s="69"/>
      <c r="B25" s="69"/>
      <c r="C25" s="125" t="s">
        <v>0</v>
      </c>
      <c r="D25" s="86">
        <v>26</v>
      </c>
      <c r="E25" s="86">
        <v>26</v>
      </c>
      <c r="F25" s="86">
        <v>24</v>
      </c>
      <c r="G25" s="86">
        <v>24</v>
      </c>
      <c r="H25" s="86">
        <v>24</v>
      </c>
      <c r="I25" s="86">
        <v>24</v>
      </c>
      <c r="J25" s="86">
        <v>24</v>
      </c>
      <c r="K25" s="86">
        <v>24</v>
      </c>
      <c r="L25" s="86">
        <v>21</v>
      </c>
      <c r="M25" s="86">
        <v>21</v>
      </c>
      <c r="N25" s="69"/>
      <c r="O25" s="69"/>
      <c r="P25" s="84">
        <f>IF(P$23=D$23,D25,IF(P$23=E$23,E25,IF(P$23=F$23,F25,IF(P$23=G$23,G25,IF(P$23=H$23,H25,IF(P$23=I$23,I25,IF(P$23=J$23,J25,IF(P$23=K$23,K25,IF(P$23=L$23,L25,IF(P$23=M$23,M25,666))))))))))</f>
        <v>24</v>
      </c>
      <c r="Q25" s="69"/>
      <c r="R25" s="69"/>
      <c r="S25" s="69"/>
      <c r="V25" s="9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131" t="s">
        <v>209</v>
      </c>
      <c r="AV25" s="106">
        <v>552.33000000000004</v>
      </c>
    </row>
    <row r="26" spans="1:48" x14ac:dyDescent="0.25">
      <c r="A26" s="69"/>
      <c r="B26" s="69"/>
      <c r="C26" s="114" t="s">
        <v>2</v>
      </c>
      <c r="D26" s="173">
        <v>1203.56</v>
      </c>
      <c r="E26" s="88">
        <f t="shared" ref="E26:I29" si="21">+D26</f>
        <v>1203.56</v>
      </c>
      <c r="F26" s="88">
        <f t="shared" si="21"/>
        <v>1203.56</v>
      </c>
      <c r="G26" s="88">
        <f t="shared" si="21"/>
        <v>1203.56</v>
      </c>
      <c r="H26" s="88">
        <f t="shared" si="21"/>
        <v>1203.56</v>
      </c>
      <c r="I26" s="88">
        <f t="shared" si="21"/>
        <v>1203.56</v>
      </c>
      <c r="J26" s="173">
        <v>1040.69</v>
      </c>
      <c r="K26" s="88">
        <f>+J26</f>
        <v>1040.69</v>
      </c>
      <c r="L26" s="88">
        <f>+K26</f>
        <v>1040.69</v>
      </c>
      <c r="M26" s="88">
        <f>+L26</f>
        <v>1040.69</v>
      </c>
      <c r="N26" s="69"/>
      <c r="O26" s="69"/>
      <c r="P26" s="84">
        <f t="shared" ref="P26:P48" si="22">IF(P$23=D$23,D26,IF(P$23=E$23,E26,IF(P$23=F$23,F26,IF(P$23=G$23,G26,IF(P$23=H$23,H26,IF(P$23=I$23,I26,IF(P$23=J$23,J26,IF(P$23=K$23,K26,IF(P$23=L$23,L26,IF(P$23=M$23,M26,666))))))))))</f>
        <v>1203.56</v>
      </c>
      <c r="Q26" s="69"/>
      <c r="R26" s="69"/>
      <c r="S26" s="69"/>
      <c r="T26" s="9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131" t="s">
        <v>210</v>
      </c>
      <c r="AV26" s="106">
        <v>503.95</v>
      </c>
    </row>
    <row r="27" spans="1:48" x14ac:dyDescent="0.25">
      <c r="A27" s="69"/>
      <c r="B27" s="69"/>
      <c r="C27" s="114" t="s">
        <v>129</v>
      </c>
      <c r="D27" s="173">
        <v>742.7</v>
      </c>
      <c r="E27" s="88">
        <f t="shared" si="21"/>
        <v>742.7</v>
      </c>
      <c r="F27" s="88">
        <f t="shared" si="21"/>
        <v>742.7</v>
      </c>
      <c r="G27" s="88">
        <f t="shared" si="21"/>
        <v>742.7</v>
      </c>
      <c r="H27" s="88">
        <f t="shared" si="21"/>
        <v>742.7</v>
      </c>
      <c r="I27" s="88">
        <f t="shared" si="21"/>
        <v>742.7</v>
      </c>
      <c r="J27" s="173">
        <v>759</v>
      </c>
      <c r="K27" s="88">
        <f>+J27</f>
        <v>759</v>
      </c>
      <c r="L27" s="88">
        <f t="shared" ref="L27:M30" si="23">+K27</f>
        <v>759</v>
      </c>
      <c r="M27" s="88">
        <f t="shared" si="23"/>
        <v>759</v>
      </c>
      <c r="N27" s="69"/>
      <c r="O27" s="69"/>
      <c r="P27" s="84">
        <f t="shared" si="22"/>
        <v>742.7</v>
      </c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U27" s="131" t="s">
        <v>211</v>
      </c>
      <c r="AV27" s="106">
        <v>380.02</v>
      </c>
    </row>
    <row r="28" spans="1:48" x14ac:dyDescent="0.25">
      <c r="A28" s="69"/>
      <c r="B28" s="69"/>
      <c r="C28" s="115" t="s">
        <v>3</v>
      </c>
      <c r="D28" s="173">
        <v>46.32</v>
      </c>
      <c r="E28" s="88">
        <f t="shared" si="21"/>
        <v>46.32</v>
      </c>
      <c r="F28" s="88">
        <f t="shared" si="21"/>
        <v>46.32</v>
      </c>
      <c r="G28" s="88">
        <f t="shared" si="21"/>
        <v>46.32</v>
      </c>
      <c r="H28" s="88">
        <f t="shared" si="21"/>
        <v>46.32</v>
      </c>
      <c r="I28" s="88">
        <f t="shared" si="21"/>
        <v>46.32</v>
      </c>
      <c r="J28" s="173">
        <v>37.78</v>
      </c>
      <c r="K28" s="88">
        <f>+J28</f>
        <v>37.78</v>
      </c>
      <c r="L28" s="88">
        <f t="shared" si="23"/>
        <v>37.78</v>
      </c>
      <c r="M28" s="88">
        <f t="shared" si="23"/>
        <v>37.78</v>
      </c>
      <c r="N28" s="69"/>
      <c r="O28" s="69"/>
      <c r="P28" s="84">
        <f t="shared" si="22"/>
        <v>46.32</v>
      </c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U28" s="132" t="s">
        <v>212</v>
      </c>
      <c r="AV28" s="106">
        <v>289.17</v>
      </c>
    </row>
    <row r="29" spans="1:48" x14ac:dyDescent="0.25">
      <c r="A29" s="69"/>
      <c r="B29" s="69"/>
      <c r="C29" s="115" t="s">
        <v>142</v>
      </c>
      <c r="D29" s="173">
        <v>28.59</v>
      </c>
      <c r="E29" s="88">
        <f t="shared" si="21"/>
        <v>28.59</v>
      </c>
      <c r="F29" s="88">
        <f t="shared" si="21"/>
        <v>28.59</v>
      </c>
      <c r="G29" s="88">
        <f t="shared" si="21"/>
        <v>28.59</v>
      </c>
      <c r="H29" s="88">
        <f t="shared" si="21"/>
        <v>28.59</v>
      </c>
      <c r="I29" s="88">
        <f t="shared" si="21"/>
        <v>28.59</v>
      </c>
      <c r="J29" s="173">
        <v>27.54</v>
      </c>
      <c r="K29" s="88">
        <f>+J29</f>
        <v>27.54</v>
      </c>
      <c r="L29" s="88">
        <f t="shared" si="23"/>
        <v>27.54</v>
      </c>
      <c r="M29" s="88">
        <f t="shared" si="23"/>
        <v>27.54</v>
      </c>
      <c r="N29" s="69"/>
      <c r="O29" s="69"/>
      <c r="P29" s="84">
        <f t="shared" si="22"/>
        <v>28.59</v>
      </c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U29" s="132" t="s">
        <v>213</v>
      </c>
      <c r="AV29" s="106">
        <v>195.95</v>
      </c>
    </row>
    <row r="30" spans="1:48" x14ac:dyDescent="0.25">
      <c r="B30" s="69"/>
      <c r="C30" s="116" t="s">
        <v>143</v>
      </c>
      <c r="D30" s="173">
        <v>768.16</v>
      </c>
      <c r="E30" s="88">
        <f>+D30</f>
        <v>768.16</v>
      </c>
      <c r="F30" s="173">
        <v>641.34</v>
      </c>
      <c r="G30" s="88">
        <f>+F30</f>
        <v>641.34</v>
      </c>
      <c r="H30" s="88">
        <f>+G30</f>
        <v>641.34</v>
      </c>
      <c r="I30" s="88">
        <f>+H30</f>
        <v>641.34</v>
      </c>
      <c r="J30" s="88">
        <f>+I30</f>
        <v>641.34</v>
      </c>
      <c r="K30" s="88">
        <f>+J30</f>
        <v>641.34</v>
      </c>
      <c r="L30" s="173">
        <v>520.79</v>
      </c>
      <c r="M30" s="88">
        <f t="shared" si="23"/>
        <v>520.79</v>
      </c>
      <c r="N30" s="69"/>
      <c r="O30" s="69"/>
      <c r="P30" s="84">
        <f t="shared" si="22"/>
        <v>641.34</v>
      </c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U30" s="132" t="s">
        <v>214</v>
      </c>
      <c r="AV30" s="106">
        <v>122.79</v>
      </c>
    </row>
    <row r="31" spans="1:48" x14ac:dyDescent="0.25">
      <c r="C31" s="116" t="s">
        <v>144</v>
      </c>
      <c r="D31" s="88">
        <f t="shared" ref="D31:M31" si="24">+D30</f>
        <v>768.16</v>
      </c>
      <c r="E31" s="88">
        <f t="shared" si="24"/>
        <v>768.16</v>
      </c>
      <c r="F31" s="88">
        <f t="shared" si="24"/>
        <v>641.34</v>
      </c>
      <c r="G31" s="88">
        <f t="shared" si="24"/>
        <v>641.34</v>
      </c>
      <c r="H31" s="88">
        <f t="shared" si="24"/>
        <v>641.34</v>
      </c>
      <c r="I31" s="88">
        <f t="shared" si="24"/>
        <v>641.34</v>
      </c>
      <c r="J31" s="88">
        <f t="shared" si="24"/>
        <v>641.34</v>
      </c>
      <c r="K31" s="88">
        <f t="shared" si="24"/>
        <v>641.34</v>
      </c>
      <c r="L31" s="88">
        <f t="shared" si="24"/>
        <v>520.79</v>
      </c>
      <c r="M31" s="88">
        <f t="shared" si="24"/>
        <v>520.79</v>
      </c>
      <c r="N31" s="69"/>
      <c r="O31" s="69"/>
      <c r="P31" s="84">
        <f t="shared" si="22"/>
        <v>641.34</v>
      </c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U31" s="131" t="s">
        <v>83</v>
      </c>
      <c r="AV31" s="106">
        <v>226.63</v>
      </c>
    </row>
    <row r="32" spans="1:48" x14ac:dyDescent="0.25">
      <c r="C32" s="117" t="s">
        <v>145</v>
      </c>
      <c r="D32" s="173">
        <v>1501.52</v>
      </c>
      <c r="E32" s="173">
        <v>719.29</v>
      </c>
      <c r="F32" s="173">
        <v>666.88</v>
      </c>
      <c r="G32" s="88">
        <f>+F32</f>
        <v>666.88</v>
      </c>
      <c r="H32" s="88">
        <f>+G32</f>
        <v>666.88</v>
      </c>
      <c r="I32" s="88">
        <f>+H32</f>
        <v>666.88</v>
      </c>
      <c r="J32" s="173">
        <v>668.9</v>
      </c>
      <c r="K32" s="88">
        <f>+J32</f>
        <v>668.9</v>
      </c>
      <c r="L32" s="173">
        <v>710.04</v>
      </c>
      <c r="M32" s="173">
        <v>789.46</v>
      </c>
      <c r="N32" s="69"/>
      <c r="O32" s="69"/>
      <c r="P32" s="84">
        <f t="shared" si="22"/>
        <v>666.88</v>
      </c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U32" s="131" t="s">
        <v>84</v>
      </c>
      <c r="AV32" s="106">
        <v>217.2</v>
      </c>
    </row>
    <row r="33" spans="3:48" x14ac:dyDescent="0.25">
      <c r="C33" s="118" t="s">
        <v>146</v>
      </c>
      <c r="D33" s="89">
        <f>ROUNDUP(+D32*78%,2)</f>
        <v>1171.19</v>
      </c>
      <c r="E33" s="89">
        <f t="shared" ref="E33:F33" si="25">ROUNDUP(+E32*78%,2)</f>
        <v>561.04999999999995</v>
      </c>
      <c r="F33" s="89">
        <f t="shared" si="25"/>
        <v>520.16999999999996</v>
      </c>
      <c r="G33" s="89">
        <f>ROUNDUP(+G32*78%,2)</f>
        <v>520.16999999999996</v>
      </c>
      <c r="H33" s="89">
        <f t="shared" ref="H33" si="26">ROUNDUP(+H32*78%,2)</f>
        <v>520.16999999999996</v>
      </c>
      <c r="I33" s="89">
        <f>ROUNDUP(+I32*78%,2)</f>
        <v>520.16999999999996</v>
      </c>
      <c r="J33" s="89">
        <f t="shared" ref="J33" si="27">ROUNDUP(+J32*78%,2)</f>
        <v>521.75</v>
      </c>
      <c r="K33" s="89">
        <f>ROUNDUP(+K32*78%,2)</f>
        <v>521.75</v>
      </c>
      <c r="L33" s="89">
        <f t="shared" ref="L33" si="28">ROUNDUP(+L32*78%,2)</f>
        <v>553.84</v>
      </c>
      <c r="M33" s="89">
        <f>ROUNDUP(+M32*78%,2)</f>
        <v>615.78</v>
      </c>
      <c r="N33" s="69"/>
      <c r="O33" s="69"/>
      <c r="P33" s="84">
        <f t="shared" si="22"/>
        <v>520.16999999999996</v>
      </c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U33" s="132" t="s">
        <v>85</v>
      </c>
      <c r="AV33" s="106">
        <v>203.02</v>
      </c>
    </row>
    <row r="34" spans="3:48" x14ac:dyDescent="0.25">
      <c r="C34" s="119" t="s">
        <v>137</v>
      </c>
      <c r="D34" s="111">
        <v>55</v>
      </c>
      <c r="E34" s="97">
        <f t="shared" ref="E34:M34" si="29">+D34</f>
        <v>55</v>
      </c>
      <c r="F34" s="97">
        <f t="shared" si="29"/>
        <v>55</v>
      </c>
      <c r="G34" s="97">
        <f t="shared" si="29"/>
        <v>55</v>
      </c>
      <c r="H34" s="97">
        <f t="shared" si="29"/>
        <v>55</v>
      </c>
      <c r="I34" s="97">
        <f t="shared" si="29"/>
        <v>55</v>
      </c>
      <c r="J34" s="97">
        <f t="shared" si="29"/>
        <v>55</v>
      </c>
      <c r="K34" s="97">
        <f t="shared" si="29"/>
        <v>55</v>
      </c>
      <c r="L34" s="88">
        <f t="shared" si="29"/>
        <v>55</v>
      </c>
      <c r="M34" s="88">
        <f t="shared" si="29"/>
        <v>55</v>
      </c>
      <c r="N34" s="69"/>
      <c r="O34" s="69"/>
      <c r="P34" s="84">
        <f t="shared" si="22"/>
        <v>55</v>
      </c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U34" s="131" t="s">
        <v>86</v>
      </c>
      <c r="AV34" s="106">
        <v>158.16999999999999</v>
      </c>
    </row>
    <row r="35" spans="3:48" x14ac:dyDescent="0.25">
      <c r="C35" s="119" t="s">
        <v>147</v>
      </c>
      <c r="D35" s="111">
        <f>ROUNDUP(+D34*78%,2)</f>
        <v>42.9</v>
      </c>
      <c r="E35" s="97">
        <f t="shared" ref="E35:K43" si="30">+D35</f>
        <v>42.9</v>
      </c>
      <c r="F35" s="97">
        <f t="shared" si="30"/>
        <v>42.9</v>
      </c>
      <c r="G35" s="97">
        <f t="shared" si="30"/>
        <v>42.9</v>
      </c>
      <c r="H35" s="97">
        <f t="shared" si="30"/>
        <v>42.9</v>
      </c>
      <c r="I35" s="97">
        <f t="shared" si="30"/>
        <v>42.9</v>
      </c>
      <c r="J35" s="97">
        <f t="shared" si="30"/>
        <v>42.9</v>
      </c>
      <c r="K35" s="97">
        <f t="shared" si="30"/>
        <v>42.9</v>
      </c>
      <c r="L35" s="88">
        <f t="shared" ref="L35:M48" si="31">+K35</f>
        <v>42.9</v>
      </c>
      <c r="M35" s="88">
        <f t="shared" si="31"/>
        <v>42.9</v>
      </c>
      <c r="N35" s="69"/>
      <c r="O35" s="69"/>
      <c r="P35" s="84">
        <f t="shared" si="22"/>
        <v>42.9</v>
      </c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U35" s="132" t="s">
        <v>87</v>
      </c>
      <c r="AV35" s="106">
        <v>226.63</v>
      </c>
    </row>
    <row r="36" spans="3:48" x14ac:dyDescent="0.25">
      <c r="C36" s="119" t="s">
        <v>138</v>
      </c>
      <c r="D36" s="111">
        <v>87</v>
      </c>
      <c r="E36" s="97">
        <f t="shared" si="30"/>
        <v>87</v>
      </c>
      <c r="F36" s="97">
        <f t="shared" si="30"/>
        <v>87</v>
      </c>
      <c r="G36" s="97">
        <f t="shared" si="30"/>
        <v>87</v>
      </c>
      <c r="H36" s="97">
        <f t="shared" si="30"/>
        <v>87</v>
      </c>
      <c r="I36" s="97">
        <f t="shared" si="30"/>
        <v>87</v>
      </c>
      <c r="J36" s="97">
        <f t="shared" si="30"/>
        <v>87</v>
      </c>
      <c r="K36" s="97">
        <f t="shared" si="30"/>
        <v>87</v>
      </c>
      <c r="L36" s="88">
        <f t="shared" si="31"/>
        <v>87</v>
      </c>
      <c r="M36" s="88">
        <f t="shared" si="31"/>
        <v>87</v>
      </c>
      <c r="N36" s="69"/>
      <c r="O36" s="69"/>
      <c r="P36" s="84">
        <f t="shared" si="22"/>
        <v>87</v>
      </c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U36" s="131" t="s">
        <v>88</v>
      </c>
      <c r="AV36" s="106">
        <v>217.2</v>
      </c>
    </row>
    <row r="37" spans="3:48" x14ac:dyDescent="0.25">
      <c r="C37" s="119" t="s">
        <v>148</v>
      </c>
      <c r="D37" s="111">
        <f>+D36*78%</f>
        <v>67.86</v>
      </c>
      <c r="E37" s="97">
        <f t="shared" si="30"/>
        <v>67.86</v>
      </c>
      <c r="F37" s="97">
        <f t="shared" si="30"/>
        <v>67.86</v>
      </c>
      <c r="G37" s="97">
        <f t="shared" si="30"/>
        <v>67.86</v>
      </c>
      <c r="H37" s="97">
        <f t="shared" si="30"/>
        <v>67.86</v>
      </c>
      <c r="I37" s="97">
        <f t="shared" si="30"/>
        <v>67.86</v>
      </c>
      <c r="J37" s="97">
        <f t="shared" si="30"/>
        <v>67.86</v>
      </c>
      <c r="K37" s="97">
        <f t="shared" si="30"/>
        <v>67.86</v>
      </c>
      <c r="L37" s="88">
        <f t="shared" si="31"/>
        <v>67.86</v>
      </c>
      <c r="M37" s="88">
        <f t="shared" si="31"/>
        <v>67.86</v>
      </c>
      <c r="N37" s="69"/>
      <c r="O37" s="69"/>
      <c r="P37" s="84">
        <f t="shared" si="22"/>
        <v>67.86</v>
      </c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U37" s="131" t="s">
        <v>89</v>
      </c>
      <c r="AV37" s="106">
        <v>203.02</v>
      </c>
    </row>
    <row r="38" spans="3:48" x14ac:dyDescent="0.25">
      <c r="C38" s="119" t="s">
        <v>139</v>
      </c>
      <c r="D38" s="111">
        <v>99</v>
      </c>
      <c r="E38" s="97">
        <f t="shared" si="30"/>
        <v>99</v>
      </c>
      <c r="F38" s="97">
        <f t="shared" si="30"/>
        <v>99</v>
      </c>
      <c r="G38" s="97">
        <f t="shared" si="30"/>
        <v>99</v>
      </c>
      <c r="H38" s="97">
        <f t="shared" si="30"/>
        <v>99</v>
      </c>
      <c r="I38" s="97">
        <f t="shared" si="30"/>
        <v>99</v>
      </c>
      <c r="J38" s="97">
        <f t="shared" si="30"/>
        <v>99</v>
      </c>
      <c r="K38" s="97">
        <f t="shared" si="30"/>
        <v>99</v>
      </c>
      <c r="L38" s="88">
        <f t="shared" si="31"/>
        <v>99</v>
      </c>
      <c r="M38" s="88">
        <f t="shared" si="31"/>
        <v>99</v>
      </c>
      <c r="N38" s="69"/>
      <c r="O38" s="69"/>
      <c r="P38" s="84">
        <f t="shared" si="22"/>
        <v>99</v>
      </c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U38" s="131" t="s">
        <v>90</v>
      </c>
      <c r="AV38" s="106">
        <v>158.16999999999999</v>
      </c>
    </row>
    <row r="39" spans="3:48" x14ac:dyDescent="0.25">
      <c r="C39" s="119" t="s">
        <v>149</v>
      </c>
      <c r="D39" s="111">
        <f>+D38*78%</f>
        <v>77.22</v>
      </c>
      <c r="E39" s="97">
        <f t="shared" si="30"/>
        <v>77.22</v>
      </c>
      <c r="F39" s="97">
        <f t="shared" si="30"/>
        <v>77.22</v>
      </c>
      <c r="G39" s="97">
        <f t="shared" si="30"/>
        <v>77.22</v>
      </c>
      <c r="H39" s="97">
        <f t="shared" si="30"/>
        <v>77.22</v>
      </c>
      <c r="I39" s="97">
        <f t="shared" si="30"/>
        <v>77.22</v>
      </c>
      <c r="J39" s="97">
        <f t="shared" si="30"/>
        <v>77.22</v>
      </c>
      <c r="K39" s="97">
        <f t="shared" si="30"/>
        <v>77.22</v>
      </c>
      <c r="L39" s="88">
        <f t="shared" si="31"/>
        <v>77.22</v>
      </c>
      <c r="M39" s="88">
        <f t="shared" si="31"/>
        <v>77.22</v>
      </c>
      <c r="N39" s="69"/>
      <c r="O39" s="69"/>
      <c r="P39" s="84">
        <f t="shared" si="22"/>
        <v>77.22</v>
      </c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U39" s="131" t="s">
        <v>91</v>
      </c>
      <c r="AV39" s="106">
        <v>106.25</v>
      </c>
    </row>
    <row r="40" spans="3:48" x14ac:dyDescent="0.25">
      <c r="C40" s="119" t="s">
        <v>140</v>
      </c>
      <c r="D40" s="111">
        <v>118.8</v>
      </c>
      <c r="E40" s="97">
        <f t="shared" si="30"/>
        <v>118.8</v>
      </c>
      <c r="F40" s="97">
        <f t="shared" si="30"/>
        <v>118.8</v>
      </c>
      <c r="G40" s="97">
        <f t="shared" si="30"/>
        <v>118.8</v>
      </c>
      <c r="H40" s="97">
        <f t="shared" si="30"/>
        <v>118.8</v>
      </c>
      <c r="I40" s="97">
        <f t="shared" si="30"/>
        <v>118.8</v>
      </c>
      <c r="J40" s="97">
        <f t="shared" si="30"/>
        <v>118.8</v>
      </c>
      <c r="K40" s="97">
        <f t="shared" si="30"/>
        <v>118.8</v>
      </c>
      <c r="L40" s="88">
        <f t="shared" si="31"/>
        <v>118.8</v>
      </c>
      <c r="M40" s="88">
        <f t="shared" si="31"/>
        <v>118.8</v>
      </c>
      <c r="N40" s="69"/>
      <c r="O40" s="69"/>
      <c r="P40" s="84">
        <f t="shared" si="22"/>
        <v>118.8</v>
      </c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U40" s="131" t="s">
        <v>40</v>
      </c>
      <c r="AV40" s="106">
        <v>226.63</v>
      </c>
    </row>
    <row r="41" spans="3:48" x14ac:dyDescent="0.25">
      <c r="C41" s="119" t="s">
        <v>150</v>
      </c>
      <c r="D41" s="111">
        <f>+D40*78%</f>
        <v>92.664000000000001</v>
      </c>
      <c r="E41" s="97">
        <f t="shared" si="30"/>
        <v>92.664000000000001</v>
      </c>
      <c r="F41" s="97">
        <f t="shared" si="30"/>
        <v>92.664000000000001</v>
      </c>
      <c r="G41" s="97">
        <f t="shared" si="30"/>
        <v>92.664000000000001</v>
      </c>
      <c r="H41" s="97">
        <f t="shared" si="30"/>
        <v>92.664000000000001</v>
      </c>
      <c r="I41" s="97">
        <f t="shared" si="30"/>
        <v>92.664000000000001</v>
      </c>
      <c r="J41" s="97">
        <f t="shared" si="30"/>
        <v>92.664000000000001</v>
      </c>
      <c r="K41" s="97">
        <f t="shared" si="30"/>
        <v>92.664000000000001</v>
      </c>
      <c r="L41" s="88">
        <f t="shared" si="31"/>
        <v>92.664000000000001</v>
      </c>
      <c r="M41" s="88">
        <f t="shared" si="31"/>
        <v>92.664000000000001</v>
      </c>
      <c r="N41" s="69"/>
      <c r="O41" s="69"/>
      <c r="P41" s="84">
        <f t="shared" si="22"/>
        <v>92.664000000000001</v>
      </c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U41" s="131" t="s">
        <v>41</v>
      </c>
      <c r="AV41" s="106">
        <v>217.2</v>
      </c>
    </row>
    <row r="42" spans="3:48" x14ac:dyDescent="0.25">
      <c r="C42" s="119" t="s">
        <v>151</v>
      </c>
      <c r="D42" s="111">
        <v>188.8</v>
      </c>
      <c r="E42" s="97">
        <f t="shared" si="30"/>
        <v>188.8</v>
      </c>
      <c r="F42" s="97">
        <f t="shared" si="30"/>
        <v>188.8</v>
      </c>
      <c r="G42" s="97">
        <f t="shared" si="30"/>
        <v>188.8</v>
      </c>
      <c r="H42" s="97">
        <f t="shared" si="30"/>
        <v>188.8</v>
      </c>
      <c r="I42" s="97">
        <f t="shared" si="30"/>
        <v>188.8</v>
      </c>
      <c r="J42" s="97">
        <f t="shared" si="30"/>
        <v>188.8</v>
      </c>
      <c r="K42" s="97">
        <f t="shared" si="30"/>
        <v>188.8</v>
      </c>
      <c r="L42" s="88">
        <f t="shared" si="31"/>
        <v>188.8</v>
      </c>
      <c r="M42" s="88">
        <f t="shared" si="31"/>
        <v>188.8</v>
      </c>
      <c r="N42" s="69"/>
      <c r="O42" s="69"/>
      <c r="P42" s="84">
        <f t="shared" si="22"/>
        <v>188.8</v>
      </c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U42" s="132" t="s">
        <v>42</v>
      </c>
      <c r="AV42" s="106">
        <v>203.02</v>
      </c>
    </row>
    <row r="43" spans="3:48" x14ac:dyDescent="0.25">
      <c r="C43" s="119" t="s">
        <v>152</v>
      </c>
      <c r="D43" s="111">
        <f>+D42*78%</f>
        <v>147.26400000000001</v>
      </c>
      <c r="E43" s="97">
        <f t="shared" si="30"/>
        <v>147.26400000000001</v>
      </c>
      <c r="F43" s="97">
        <f t="shared" si="30"/>
        <v>147.26400000000001</v>
      </c>
      <c r="G43" s="97">
        <f t="shared" si="30"/>
        <v>147.26400000000001</v>
      </c>
      <c r="H43" s="97">
        <f t="shared" si="30"/>
        <v>147.26400000000001</v>
      </c>
      <c r="I43" s="97">
        <f t="shared" si="30"/>
        <v>147.26400000000001</v>
      </c>
      <c r="J43" s="97">
        <f t="shared" si="30"/>
        <v>147.26400000000001</v>
      </c>
      <c r="K43" s="97">
        <f t="shared" si="30"/>
        <v>147.26400000000001</v>
      </c>
      <c r="L43" s="88">
        <f t="shared" si="31"/>
        <v>147.26400000000001</v>
      </c>
      <c r="M43" s="88">
        <f t="shared" si="31"/>
        <v>147.26400000000001</v>
      </c>
      <c r="N43" s="69"/>
      <c r="O43" s="69"/>
      <c r="P43" s="84">
        <f t="shared" si="22"/>
        <v>147.26400000000001</v>
      </c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U43" s="135" t="s">
        <v>192</v>
      </c>
    </row>
    <row r="44" spans="3:48" x14ac:dyDescent="0.25">
      <c r="C44" s="126" t="s">
        <v>4</v>
      </c>
      <c r="D44" s="173">
        <v>176.69</v>
      </c>
      <c r="E44" s="173">
        <v>159.07</v>
      </c>
      <c r="F44" s="173">
        <v>141.38999999999999</v>
      </c>
      <c r="G44" s="97">
        <f t="shared" ref="G44:I48" si="32">+F44</f>
        <v>141.38999999999999</v>
      </c>
      <c r="H44" s="97">
        <f t="shared" si="32"/>
        <v>141.38999999999999</v>
      </c>
      <c r="I44" s="97">
        <f t="shared" si="32"/>
        <v>141.38999999999999</v>
      </c>
      <c r="J44" s="173">
        <v>127.27</v>
      </c>
      <c r="K44" s="97">
        <f>+J44</f>
        <v>127.27</v>
      </c>
      <c r="L44" s="88">
        <f t="shared" si="31"/>
        <v>127.27</v>
      </c>
      <c r="M44" s="88">
        <f t="shared" si="31"/>
        <v>127.27</v>
      </c>
      <c r="N44" s="69"/>
      <c r="O44" s="69"/>
      <c r="P44" s="84">
        <f t="shared" si="22"/>
        <v>141.38999999999999</v>
      </c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U44" s="133" t="s">
        <v>20</v>
      </c>
      <c r="AV44" s="106">
        <v>694.21</v>
      </c>
    </row>
    <row r="45" spans="3:48" x14ac:dyDescent="0.25">
      <c r="C45" s="120" t="s">
        <v>5</v>
      </c>
      <c r="D45" s="173">
        <v>588.76</v>
      </c>
      <c r="E45" s="173">
        <v>529.88</v>
      </c>
      <c r="F45" s="173">
        <v>471</v>
      </c>
      <c r="G45" s="97">
        <f t="shared" si="32"/>
        <v>471</v>
      </c>
      <c r="H45" s="97">
        <f t="shared" si="32"/>
        <v>471</v>
      </c>
      <c r="I45" s="97">
        <f t="shared" si="32"/>
        <v>471</v>
      </c>
      <c r="J45" s="173">
        <v>423.92</v>
      </c>
      <c r="K45" s="97">
        <f>+J45</f>
        <v>423.92</v>
      </c>
      <c r="L45" s="88">
        <f t="shared" si="31"/>
        <v>423.92</v>
      </c>
      <c r="M45" s="88">
        <f t="shared" si="31"/>
        <v>423.92</v>
      </c>
      <c r="N45" s="69"/>
      <c r="O45" s="69"/>
      <c r="P45" s="84">
        <f t="shared" si="22"/>
        <v>471</v>
      </c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U45" s="133" t="s">
        <v>21</v>
      </c>
      <c r="AV45" s="106">
        <v>617.52</v>
      </c>
    </row>
    <row r="46" spans="3:48" x14ac:dyDescent="0.25">
      <c r="C46" s="121" t="s">
        <v>6</v>
      </c>
      <c r="D46" s="173">
        <v>41.34</v>
      </c>
      <c r="E46" s="173">
        <v>37.19</v>
      </c>
      <c r="F46" s="173">
        <v>33.119999999999997</v>
      </c>
      <c r="G46" s="97">
        <f t="shared" si="32"/>
        <v>33.119999999999997</v>
      </c>
      <c r="H46" s="97">
        <f t="shared" si="32"/>
        <v>33.119999999999997</v>
      </c>
      <c r="I46" s="97">
        <f t="shared" si="32"/>
        <v>33.119999999999997</v>
      </c>
      <c r="J46" s="173">
        <v>29.78</v>
      </c>
      <c r="K46" s="97">
        <f>+J46</f>
        <v>29.78</v>
      </c>
      <c r="L46" s="88">
        <f t="shared" si="31"/>
        <v>29.78</v>
      </c>
      <c r="M46" s="88">
        <f t="shared" si="31"/>
        <v>29.78</v>
      </c>
      <c r="N46" s="69"/>
      <c r="O46" s="69"/>
      <c r="P46" s="84">
        <f t="shared" si="22"/>
        <v>33.119999999999997</v>
      </c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U46" s="133" t="s">
        <v>22</v>
      </c>
      <c r="AV46" s="106">
        <v>556.11</v>
      </c>
    </row>
    <row r="47" spans="3:48" x14ac:dyDescent="0.25">
      <c r="C47" s="122" t="s">
        <v>13</v>
      </c>
      <c r="D47" s="175">
        <v>48.99</v>
      </c>
      <c r="E47" s="97">
        <f>+D47</f>
        <v>48.99</v>
      </c>
      <c r="F47" s="97">
        <f>+E47</f>
        <v>48.99</v>
      </c>
      <c r="G47" s="97">
        <f t="shared" si="32"/>
        <v>48.99</v>
      </c>
      <c r="H47" s="97">
        <f t="shared" si="32"/>
        <v>48.99</v>
      </c>
      <c r="I47" s="97">
        <f t="shared" si="32"/>
        <v>48.99</v>
      </c>
      <c r="J47" s="175">
        <v>38.56</v>
      </c>
      <c r="K47" s="97">
        <f>+J47</f>
        <v>38.56</v>
      </c>
      <c r="L47" s="88">
        <f t="shared" si="31"/>
        <v>38.56</v>
      </c>
      <c r="M47" s="88">
        <f t="shared" si="31"/>
        <v>38.56</v>
      </c>
      <c r="N47" s="69"/>
      <c r="O47" s="69"/>
      <c r="P47" s="84">
        <f t="shared" si="22"/>
        <v>48.99</v>
      </c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U47" s="133" t="s">
        <v>23</v>
      </c>
      <c r="AV47" s="106">
        <v>506.51</v>
      </c>
    </row>
    <row r="48" spans="3:48" x14ac:dyDescent="0.25">
      <c r="C48" s="123" t="s">
        <v>154</v>
      </c>
      <c r="D48" s="174">
        <v>111.9</v>
      </c>
      <c r="E48" s="97">
        <f>+D48</f>
        <v>111.9</v>
      </c>
      <c r="F48" s="97">
        <f>+E48</f>
        <v>111.9</v>
      </c>
      <c r="G48" s="97">
        <f t="shared" si="32"/>
        <v>111.9</v>
      </c>
      <c r="H48" s="97">
        <f t="shared" si="32"/>
        <v>111.9</v>
      </c>
      <c r="I48" s="97">
        <f t="shared" si="32"/>
        <v>111.9</v>
      </c>
      <c r="J48" s="175">
        <v>88.07</v>
      </c>
      <c r="K48" s="97">
        <f>+J48</f>
        <v>88.07</v>
      </c>
      <c r="L48" s="88">
        <f t="shared" si="31"/>
        <v>88.07</v>
      </c>
      <c r="M48" s="88">
        <f t="shared" si="31"/>
        <v>88.07</v>
      </c>
      <c r="N48" s="69"/>
      <c r="O48" s="69"/>
      <c r="P48" s="84">
        <f t="shared" si="22"/>
        <v>111.9</v>
      </c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U48" s="133" t="s">
        <v>24</v>
      </c>
      <c r="AV48" s="106">
        <v>341.26</v>
      </c>
    </row>
    <row r="49" spans="3:48" x14ac:dyDescent="0.25"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U49" s="134" t="s">
        <v>25</v>
      </c>
      <c r="AV49" s="106">
        <v>327.08</v>
      </c>
    </row>
    <row r="50" spans="3:48" x14ac:dyDescent="0.25"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125" t="s">
        <v>44</v>
      </c>
      <c r="P50" s="100">
        <f>INT(+Nómina!C7/3)</f>
        <v>10</v>
      </c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U50" s="134" t="s">
        <v>26</v>
      </c>
      <c r="AV50" s="106">
        <v>253.87</v>
      </c>
    </row>
    <row r="51" spans="3:48" x14ac:dyDescent="0.25">
      <c r="C51" s="69"/>
      <c r="D51" s="69" t="s">
        <v>232</v>
      </c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125" t="s">
        <v>155</v>
      </c>
      <c r="P51" s="125">
        <f>INT(+Nómina!C7/6)</f>
        <v>5</v>
      </c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U51" s="134" t="s">
        <v>27</v>
      </c>
      <c r="AV51" s="106">
        <v>203.12</v>
      </c>
    </row>
    <row r="52" spans="3:48" x14ac:dyDescent="0.25">
      <c r="C52" s="69"/>
      <c r="D52"/>
      <c r="E52" s="69"/>
      <c r="F52"/>
      <c r="G52" s="69"/>
      <c r="H52" s="69"/>
      <c r="I52" s="69"/>
      <c r="J52" s="69"/>
      <c r="K52" s="69"/>
      <c r="L52"/>
      <c r="M52" s="69"/>
      <c r="N52" s="69"/>
      <c r="O52" s="125" t="s">
        <v>141</v>
      </c>
      <c r="P52" s="128" t="str">
        <f>+Nómina!C11</f>
        <v>N</v>
      </c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U52" s="134" t="s">
        <v>28</v>
      </c>
      <c r="AV52" s="106">
        <v>341.26</v>
      </c>
    </row>
    <row r="53" spans="3:48" x14ac:dyDescent="0.25"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U53" s="134" t="s">
        <v>29</v>
      </c>
      <c r="AV53" s="106">
        <v>327.08</v>
      </c>
    </row>
    <row r="54" spans="3:48" x14ac:dyDescent="0.25"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 t="s">
        <v>177</v>
      </c>
      <c r="P54" s="69">
        <f>((+P26+P30+P32+(P28*P50)+(IF(P51=1,P34,IF(P51=2,P36,IF(P51=3,P38,IF(P51=4,P40,IF(P51&gt;4,P42,0)))))))*12)+((P27+P31+P33+(P29*P50)+(IF(P51=1,P34*0.78,IF(P51=2,P36*0.78,IF(P51=3,P38*0.78,IF(P51=4,P40*0.78,IF(P51&gt;4,P42*0.78,0)))))))*2)+(IF(P52="S",(P45+(P46*P50))*12,P44*12))</f>
        <v>44336.788</v>
      </c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U54" s="133" t="s">
        <v>30</v>
      </c>
      <c r="AV54" s="106">
        <v>253.87</v>
      </c>
    </row>
    <row r="55" spans="3:48" x14ac:dyDescent="0.25"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U55" s="133" t="s">
        <v>31</v>
      </c>
      <c r="AV55" s="106">
        <v>203.12</v>
      </c>
    </row>
    <row r="56" spans="3:48" x14ac:dyDescent="0.25"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U56" s="133" t="s">
        <v>32</v>
      </c>
      <c r="AV56" s="106">
        <v>341.26</v>
      </c>
    </row>
    <row r="57" spans="3:48" x14ac:dyDescent="0.25"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U57" s="133" t="s">
        <v>33</v>
      </c>
      <c r="AV57" s="106">
        <v>327.08</v>
      </c>
    </row>
    <row r="58" spans="3:48" x14ac:dyDescent="0.25"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U58" s="133" t="s">
        <v>34</v>
      </c>
      <c r="AV58" s="106">
        <v>253.87</v>
      </c>
    </row>
    <row r="59" spans="3:48" x14ac:dyDescent="0.25"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U59" s="133" t="s">
        <v>35</v>
      </c>
      <c r="AV59" s="106">
        <v>203.12</v>
      </c>
    </row>
    <row r="60" spans="3:48" x14ac:dyDescent="0.25"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U60" s="133" t="s">
        <v>36</v>
      </c>
      <c r="AV60" s="106">
        <v>170.65</v>
      </c>
    </row>
    <row r="61" spans="3:48" x14ac:dyDescent="0.25"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AU61" s="134" t="s">
        <v>37</v>
      </c>
      <c r="AV61" s="106">
        <v>163.55000000000001</v>
      </c>
    </row>
    <row r="62" spans="3:48" x14ac:dyDescent="0.25"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AU62" s="134" t="s">
        <v>38</v>
      </c>
      <c r="AV62" s="106">
        <v>126.98</v>
      </c>
    </row>
    <row r="63" spans="3:48" x14ac:dyDescent="0.25">
      <c r="C63" s="69"/>
      <c r="D63" s="69"/>
      <c r="E63" s="69"/>
      <c r="F63" s="69"/>
      <c r="G63" s="69"/>
      <c r="H63" s="69"/>
      <c r="I63" s="69"/>
      <c r="J63" s="69"/>
      <c r="K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AU63" s="134" t="s">
        <v>39</v>
      </c>
      <c r="AV63" s="106">
        <v>101.59</v>
      </c>
    </row>
    <row r="64" spans="3:48" x14ac:dyDescent="0.25">
      <c r="F64" s="69"/>
      <c r="J64" s="69"/>
      <c r="K64" s="69"/>
      <c r="AU64" s="42" t="s">
        <v>191</v>
      </c>
    </row>
    <row r="65" spans="10:48" x14ac:dyDescent="0.25">
      <c r="J65" s="69"/>
      <c r="K65" s="69"/>
      <c r="AU65" s="14" t="s">
        <v>14</v>
      </c>
      <c r="AV65" s="106">
        <v>139.4</v>
      </c>
    </row>
    <row r="66" spans="10:48" x14ac:dyDescent="0.25">
      <c r="J66" s="69"/>
      <c r="K66" s="69"/>
      <c r="AU66" s="14" t="s">
        <v>15</v>
      </c>
      <c r="AV66" s="106">
        <v>147</v>
      </c>
    </row>
    <row r="67" spans="10:48" x14ac:dyDescent="0.25">
      <c r="AU67" s="14" t="s">
        <v>16</v>
      </c>
      <c r="AV67" s="106">
        <v>157.80000000000001</v>
      </c>
    </row>
    <row r="68" spans="10:48" x14ac:dyDescent="0.25">
      <c r="AU68" s="14" t="s">
        <v>17</v>
      </c>
      <c r="AV68" s="106">
        <v>139.4</v>
      </c>
    </row>
    <row r="69" spans="10:48" x14ac:dyDescent="0.25">
      <c r="AU69" s="13" t="s">
        <v>18</v>
      </c>
      <c r="AV69" s="106">
        <v>147</v>
      </c>
    </row>
    <row r="70" spans="10:48" x14ac:dyDescent="0.25">
      <c r="AU70" s="13" t="s">
        <v>19</v>
      </c>
      <c r="AV70" s="106">
        <v>157.80000000000001</v>
      </c>
    </row>
    <row r="71" spans="10:48" x14ac:dyDescent="0.25">
      <c r="AU71" s="14" t="s">
        <v>7</v>
      </c>
      <c r="AV71" s="106">
        <v>363.84</v>
      </c>
    </row>
    <row r="72" spans="10:48" x14ac:dyDescent="0.25">
      <c r="AU72" s="14" t="s">
        <v>8</v>
      </c>
      <c r="AV72" s="106">
        <v>337.66</v>
      </c>
    </row>
    <row r="73" spans="10:48" x14ac:dyDescent="0.25">
      <c r="AU73" s="13" t="s">
        <v>9</v>
      </c>
      <c r="AV73" s="106">
        <v>175.76</v>
      </c>
    </row>
    <row r="74" spans="10:48" x14ac:dyDescent="0.25">
      <c r="AU74" s="13" t="s">
        <v>12</v>
      </c>
      <c r="AV74" s="106">
        <v>152.47</v>
      </c>
    </row>
    <row r="75" spans="10:48" x14ac:dyDescent="0.25">
      <c r="AU75" s="13" t="s">
        <v>172</v>
      </c>
      <c r="AV75" s="106">
        <v>105.85</v>
      </c>
    </row>
    <row r="76" spans="10:48" x14ac:dyDescent="0.25">
      <c r="AU76" s="13" t="s">
        <v>133</v>
      </c>
      <c r="AV76" s="106">
        <v>411</v>
      </c>
    </row>
    <row r="77" spans="10:48" x14ac:dyDescent="0.25">
      <c r="AU77" s="13" t="s">
        <v>134</v>
      </c>
      <c r="AV77" s="106">
        <v>233.46</v>
      </c>
    </row>
    <row r="78" spans="10:48" x14ac:dyDescent="0.25">
      <c r="AU78" s="13" t="s">
        <v>171</v>
      </c>
      <c r="AV78" s="176">
        <v>20.65</v>
      </c>
    </row>
    <row r="79" spans="10:48" x14ac:dyDescent="0.25">
      <c r="AU79" s="13" t="s">
        <v>10</v>
      </c>
      <c r="AV79" s="176">
        <v>17.57</v>
      </c>
    </row>
    <row r="80" spans="10:48" x14ac:dyDescent="0.25">
      <c r="AU80" s="14" t="s">
        <v>52</v>
      </c>
      <c r="AV80" s="176">
        <v>79.42</v>
      </c>
    </row>
    <row r="81" spans="47:48" x14ac:dyDescent="0.25">
      <c r="AU81" s="137" t="s">
        <v>190</v>
      </c>
    </row>
    <row r="82" spans="47:48" x14ac:dyDescent="0.25">
      <c r="AU82" s="14" t="s">
        <v>11</v>
      </c>
      <c r="AV82" s="106">
        <v>70.88</v>
      </c>
    </row>
    <row r="83" spans="47:48" x14ac:dyDescent="0.25">
      <c r="AU83" s="14" t="s">
        <v>173</v>
      </c>
      <c r="AV83" s="102">
        <v>35</v>
      </c>
    </row>
    <row r="84" spans="47:48" x14ac:dyDescent="0.25">
      <c r="AU84" s="14" t="s">
        <v>179</v>
      </c>
      <c r="AV84" s="102">
        <v>35</v>
      </c>
    </row>
    <row r="85" spans="47:48" x14ac:dyDescent="0.25">
      <c r="AU85" s="14" t="s">
        <v>180</v>
      </c>
      <c r="AV85" s="102">
        <v>45</v>
      </c>
    </row>
    <row r="86" spans="47:48" x14ac:dyDescent="0.25">
      <c r="AU86" s="14" t="s">
        <v>182</v>
      </c>
      <c r="AV86" s="102">
        <v>45</v>
      </c>
    </row>
    <row r="87" spans="47:48" x14ac:dyDescent="0.25">
      <c r="AU87" s="14" t="s">
        <v>181</v>
      </c>
      <c r="AV87" s="102">
        <v>55</v>
      </c>
    </row>
    <row r="88" spans="47:48" x14ac:dyDescent="0.25">
      <c r="AU88" s="14" t="s">
        <v>174</v>
      </c>
      <c r="AV88" s="144">
        <v>30</v>
      </c>
    </row>
    <row r="89" spans="47:48" x14ac:dyDescent="0.25">
      <c r="AU89" s="14" t="s">
        <v>178</v>
      </c>
      <c r="AV89" s="144">
        <v>30</v>
      </c>
    </row>
    <row r="90" spans="47:48" x14ac:dyDescent="0.25">
      <c r="AU90" s="14" t="s">
        <v>175</v>
      </c>
      <c r="AV90" s="144">
        <v>30</v>
      </c>
    </row>
  </sheetData>
  <sheetProtection selectLockedCells="1" selectUnlockedCells="1"/>
  <mergeCells count="1">
    <mergeCell ref="V2:X2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F8EA-1B47-4526-89A3-0C0E204EED98}">
  <dimension ref="A1:AV90"/>
  <sheetViews>
    <sheetView topLeftCell="A23" workbookViewId="0">
      <selection activeCell="P24" sqref="P24"/>
    </sheetView>
  </sheetViews>
  <sheetFormatPr baseColWidth="10" defaultRowHeight="15" x14ac:dyDescent="0.25"/>
  <cols>
    <col min="1" max="1" width="3" style="42" bestFit="1" customWidth="1"/>
    <col min="2" max="2" width="3.28515625" style="42" bestFit="1" customWidth="1"/>
    <col min="3" max="3" width="38.140625" style="42" bestFit="1" customWidth="1"/>
    <col min="4" max="4" width="9.28515625" style="42" customWidth="1"/>
    <col min="5" max="5" width="10.140625" style="42" customWidth="1"/>
    <col min="6" max="6" width="9.42578125" style="42" customWidth="1"/>
    <col min="7" max="7" width="9.28515625" style="42" customWidth="1"/>
    <col min="8" max="8" width="9.85546875" style="42" customWidth="1"/>
    <col min="9" max="9" width="9.7109375" style="42" customWidth="1"/>
    <col min="10" max="10" width="8.28515625" style="42" bestFit="1" customWidth="1"/>
    <col min="11" max="11" width="10.140625" style="42" customWidth="1"/>
    <col min="12" max="12" width="9.28515625" style="42" customWidth="1"/>
    <col min="13" max="13" width="8.85546875" style="42" bestFit="1" customWidth="1"/>
    <col min="14" max="14" width="8.140625" style="42" bestFit="1" customWidth="1"/>
    <col min="15" max="15" width="10.28515625" style="42" bestFit="1" customWidth="1"/>
    <col min="16" max="16" width="11.28515625" style="42" bestFit="1" customWidth="1"/>
    <col min="17" max="20" width="8.140625" style="42" bestFit="1" customWidth="1"/>
    <col min="21" max="21" width="7.28515625" style="42" bestFit="1" customWidth="1"/>
    <col min="22" max="23" width="8" style="42" bestFit="1" customWidth="1"/>
    <col min="24" max="24" width="11.42578125" style="42" bestFit="1" customWidth="1"/>
    <col min="25" max="25" width="7.5703125" style="42" bestFit="1" customWidth="1"/>
    <col min="26" max="26" width="6.5703125" style="42" bestFit="1" customWidth="1"/>
    <col min="27" max="27" width="3" style="42" bestFit="1" customWidth="1"/>
    <col min="28" max="28" width="3.28515625" style="42" bestFit="1" customWidth="1"/>
    <col min="29" max="30" width="6.5703125" style="42" bestFit="1" customWidth="1"/>
    <col min="31" max="31" width="10.28515625" style="42" bestFit="1" customWidth="1"/>
    <col min="32" max="32" width="6.7109375" style="42" hidden="1" customWidth="1"/>
    <col min="33" max="34" width="7" style="42" bestFit="1" customWidth="1"/>
    <col min="35" max="35" width="7.85546875" style="42" bestFit="1" customWidth="1"/>
    <col min="36" max="36" width="6.28515625" style="42" bestFit="1" customWidth="1"/>
    <col min="37" max="40" width="7" style="42" bestFit="1" customWidth="1"/>
    <col min="41" max="42" width="7.85546875" style="42" bestFit="1" customWidth="1"/>
    <col min="43" max="43" width="6.7109375" style="42" hidden="1" customWidth="1"/>
    <col min="44" max="44" width="10.7109375" style="42" bestFit="1" customWidth="1"/>
    <col min="45" max="45" width="6.7109375" style="42" hidden="1" customWidth="1"/>
    <col min="46" max="46" width="11.42578125" style="42"/>
    <col min="47" max="47" width="75.7109375" style="42" bestFit="1" customWidth="1"/>
    <col min="48" max="16384" width="11.42578125" style="42"/>
  </cols>
  <sheetData>
    <row r="1" spans="1:46" hidden="1" x14ac:dyDescent="0.25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</row>
    <row r="2" spans="1:46" hidden="1" x14ac:dyDescent="0.25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00">
        <v>1</v>
      </c>
      <c r="M2" s="100">
        <v>1</v>
      </c>
      <c r="N2" s="100">
        <v>2</v>
      </c>
      <c r="O2" s="100">
        <v>2</v>
      </c>
      <c r="P2" s="100">
        <v>3</v>
      </c>
      <c r="Q2" s="100">
        <v>3</v>
      </c>
      <c r="R2" s="100">
        <v>4</v>
      </c>
      <c r="S2" s="100">
        <v>4</v>
      </c>
      <c r="T2" s="100">
        <v>5</v>
      </c>
      <c r="U2" s="100">
        <v>5</v>
      </c>
      <c r="V2" s="238" t="s">
        <v>141</v>
      </c>
      <c r="W2" s="238"/>
      <c r="X2" s="238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</row>
    <row r="3" spans="1:46" ht="36" hidden="1" x14ac:dyDescent="0.25">
      <c r="A3" s="177"/>
      <c r="B3" s="177"/>
      <c r="C3" s="177"/>
      <c r="D3" s="71" t="s">
        <v>2</v>
      </c>
      <c r="E3" s="71" t="s">
        <v>129</v>
      </c>
      <c r="F3" s="72" t="s">
        <v>3</v>
      </c>
      <c r="G3" s="72" t="s">
        <v>142</v>
      </c>
      <c r="H3" s="73" t="s">
        <v>143</v>
      </c>
      <c r="I3" s="73" t="s">
        <v>144</v>
      </c>
      <c r="J3" s="74" t="s">
        <v>145</v>
      </c>
      <c r="K3" s="75" t="s">
        <v>146</v>
      </c>
      <c r="L3" s="76" t="s">
        <v>137</v>
      </c>
      <c r="M3" s="76" t="s">
        <v>147</v>
      </c>
      <c r="N3" s="76" t="s">
        <v>138</v>
      </c>
      <c r="O3" s="76" t="s">
        <v>148</v>
      </c>
      <c r="P3" s="76" t="s">
        <v>139</v>
      </c>
      <c r="Q3" s="76" t="s">
        <v>149</v>
      </c>
      <c r="R3" s="76" t="s">
        <v>140</v>
      </c>
      <c r="S3" s="76" t="s">
        <v>150</v>
      </c>
      <c r="T3" s="76" t="s">
        <v>151</v>
      </c>
      <c r="U3" s="76" t="s">
        <v>152</v>
      </c>
      <c r="V3" s="77" t="s">
        <v>153</v>
      </c>
      <c r="W3" s="78" t="s">
        <v>136</v>
      </c>
      <c r="X3" s="79" t="s">
        <v>6</v>
      </c>
      <c r="Y3" s="80" t="s">
        <v>13</v>
      </c>
      <c r="Z3" s="81" t="s">
        <v>154</v>
      </c>
      <c r="AA3" s="82"/>
      <c r="AB3" s="82"/>
      <c r="AC3" s="83" t="s">
        <v>155</v>
      </c>
      <c r="AD3" s="83" t="s">
        <v>44</v>
      </c>
      <c r="AE3" s="84" t="s">
        <v>156</v>
      </c>
      <c r="AF3" s="177"/>
      <c r="AG3" s="85" t="s">
        <v>157</v>
      </c>
      <c r="AH3" s="85" t="s">
        <v>158</v>
      </c>
      <c r="AI3" s="85" t="s">
        <v>159</v>
      </c>
      <c r="AJ3" s="85" t="s">
        <v>160</v>
      </c>
      <c r="AK3" s="85" t="s">
        <v>161</v>
      </c>
      <c r="AL3" s="85" t="s">
        <v>162</v>
      </c>
      <c r="AM3" s="85" t="s">
        <v>163</v>
      </c>
      <c r="AN3" s="85" t="s">
        <v>164</v>
      </c>
      <c r="AO3" s="85" t="s">
        <v>165</v>
      </c>
      <c r="AP3" s="85" t="s">
        <v>166</v>
      </c>
      <c r="AR3" s="85" t="s">
        <v>167</v>
      </c>
      <c r="AS3" s="177"/>
      <c r="AT3" s="177"/>
    </row>
    <row r="4" spans="1:46" hidden="1" x14ac:dyDescent="0.25">
      <c r="A4" s="86" t="s">
        <v>53</v>
      </c>
      <c r="B4" s="86">
        <v>26</v>
      </c>
      <c r="C4" s="87" t="s">
        <v>168</v>
      </c>
      <c r="D4" s="110">
        <f>+D26</f>
        <v>1179.96</v>
      </c>
      <c r="E4" s="110">
        <f>+D27</f>
        <v>728.13</v>
      </c>
      <c r="F4" s="110">
        <f>+D28</f>
        <v>45.410000000000004</v>
      </c>
      <c r="G4" s="110">
        <f>+D29</f>
        <v>28.02</v>
      </c>
      <c r="H4" s="110">
        <f>+D30</f>
        <v>753.09</v>
      </c>
      <c r="I4" s="88">
        <f>+H4</f>
        <v>753.09</v>
      </c>
      <c r="J4" s="110">
        <f>+D32</f>
        <v>1472.07</v>
      </c>
      <c r="K4" s="89">
        <f>+J4*78%</f>
        <v>1148.2146</v>
      </c>
      <c r="L4" s="111">
        <f>+D34</f>
        <v>55</v>
      </c>
      <c r="M4" s="104">
        <f>+D35</f>
        <v>42.9</v>
      </c>
      <c r="N4" s="111">
        <f>+D36</f>
        <v>87</v>
      </c>
      <c r="O4" s="104">
        <f>+D37</f>
        <v>67.86</v>
      </c>
      <c r="P4" s="111">
        <f>+D38</f>
        <v>99</v>
      </c>
      <c r="Q4" s="104">
        <f>+D39</f>
        <v>77.22</v>
      </c>
      <c r="R4" s="111">
        <f>+D40</f>
        <v>118.8</v>
      </c>
      <c r="S4" s="104">
        <f>+D41</f>
        <v>92.664000000000001</v>
      </c>
      <c r="T4" s="111">
        <f>+D42</f>
        <v>188.8</v>
      </c>
      <c r="U4" s="104">
        <f>+D43</f>
        <v>147.26400000000001</v>
      </c>
      <c r="V4" s="110">
        <f>+D44</f>
        <v>173.22</v>
      </c>
      <c r="W4" s="110">
        <f>+D45</f>
        <v>577.21</v>
      </c>
      <c r="X4" s="110">
        <f>+D46</f>
        <v>40.520000000000003</v>
      </c>
      <c r="Y4" s="112">
        <f>+D47</f>
        <v>48.99</v>
      </c>
      <c r="Z4" s="113">
        <f>+D48</f>
        <v>111.9</v>
      </c>
      <c r="AA4" s="70">
        <f>IF([1]Datos!E$11=[1]Retribuciones!C4,[1]Retribuciones!AD4,0)</f>
        <v>0</v>
      </c>
      <c r="AB4" s="70" t="str">
        <f t="shared" ref="AB4:AB12" si="0">IF(AA4&gt;0,A4,"")</f>
        <v/>
      </c>
      <c r="AC4" s="90">
        <f>'[1]Tiempos de cotización'!N5</f>
        <v>5</v>
      </c>
      <c r="AD4" s="91">
        <f>+'[1]Tiempos de cotización'!K5</f>
        <v>10</v>
      </c>
      <c r="AE4" s="92" t="str">
        <f>+[1]Datos!S17</f>
        <v>Isla Capitalina</v>
      </c>
      <c r="AF4" s="177"/>
      <c r="AG4" s="93">
        <f t="shared" ref="AG4:AG12" si="1">+D4+((F$15*AA$15)+(F$16*AA$16)+(F$17*AA$17)+(F$18*AA$18)+(F$19*AA$19))+H4+J4+(IF(AC4=L$2,L4,IF(AC4=N$2,N4,IF(AC4=P$2,P4,IF(AC4=R$2,R4,IF(AC4&gt;R$2,T4,0))))))+(IF(AE4=V$3,V4,W4+(X$15*AA$15)+(X$16*AA$16)+(X$17*AA$17)+(X$18*AA$18)+(X$19*AA$19)))</f>
        <v>4221.2400000000007</v>
      </c>
      <c r="AH4" s="94">
        <f t="shared" ref="AH4:AH11" si="2">+E4+(G$15*AA$15)+(G$16*AA$16)+(G$17*AA$17)+(G$18*AA$18)+(G$19*AA$19)+(IF(AC4=M$2,M4,IF(AC4=O$2,O4,IF(AC4=Q$2,Q4,IF(AC4=S$2,S4,IF(AC4&gt;S$2,U4,0))))))+I4+K4</f>
        <v>2776.6985999999997</v>
      </c>
      <c r="AI4" s="93">
        <f>+(AG4*12)+(AH4*2)</f>
        <v>56208.277200000004</v>
      </c>
      <c r="AJ4" s="95">
        <f>+'[1]IRPF Inspect'!B37</f>
        <v>0.24184213748526701</v>
      </c>
      <c r="AK4" s="93">
        <f t="shared" ref="AK4:AK13" si="3">+AG4*AJ4</f>
        <v>1020.8737044383087</v>
      </c>
      <c r="AL4" s="96">
        <f t="shared" ref="AL4:AL13" si="4">+AG4-Y4-Z4-AK4</f>
        <v>3039.476295561692</v>
      </c>
      <c r="AM4" s="96">
        <f t="shared" ref="AM4:AM12" si="5">(+AG4+AH4)*AJ4</f>
        <v>1692.3964290146571</v>
      </c>
      <c r="AN4" s="96">
        <f t="shared" ref="AN4:AN12" si="6">(+AG4+AH4)-Y4-Y4-Z4-Z4-AM4</f>
        <v>4983.7621709853447</v>
      </c>
      <c r="AO4" s="96">
        <f t="shared" ref="AO4:AO13" si="7">+AI4*AJ4</f>
        <v>13593.5299024124</v>
      </c>
      <c r="AP4" s="96">
        <f>+AI4-((Y4+Z4)*14)-AO4</f>
        <v>40362.287297587609</v>
      </c>
      <c r="AR4" s="96">
        <f t="shared" ref="AR4:AR12" si="8">+((D4+(F$19*AA$19)+(F$18*AA$18))/2)</f>
        <v>817.03</v>
      </c>
      <c r="AS4" s="177"/>
      <c r="AT4" s="177"/>
    </row>
    <row r="5" spans="1:46" hidden="1" x14ac:dyDescent="0.25">
      <c r="A5" s="86" t="s">
        <v>53</v>
      </c>
      <c r="B5" s="86">
        <v>26</v>
      </c>
      <c r="C5" s="87" t="s">
        <v>169</v>
      </c>
      <c r="D5" s="88">
        <f>+D4</f>
        <v>1179.96</v>
      </c>
      <c r="E5" s="88">
        <f>+E4</f>
        <v>728.13</v>
      </c>
      <c r="F5" s="88">
        <f>+F4</f>
        <v>45.410000000000004</v>
      </c>
      <c r="G5" s="88">
        <f>+G4</f>
        <v>28.02</v>
      </c>
      <c r="H5" s="88">
        <f>+H4</f>
        <v>753.09</v>
      </c>
      <c r="I5" s="88">
        <f t="shared" ref="I5:I13" si="9">+H5</f>
        <v>753.09</v>
      </c>
      <c r="J5" s="110">
        <f>+E32</f>
        <v>705.18</v>
      </c>
      <c r="K5" s="89">
        <f t="shared" ref="K5:K13" si="10">+J5*78%</f>
        <v>550.04039999999998</v>
      </c>
      <c r="L5" s="97">
        <f>+L4</f>
        <v>55</v>
      </c>
      <c r="M5" s="97">
        <f t="shared" ref="M5:Z13" si="11">+M4</f>
        <v>42.9</v>
      </c>
      <c r="N5" s="97">
        <f t="shared" si="11"/>
        <v>87</v>
      </c>
      <c r="O5" s="97">
        <f t="shared" si="11"/>
        <v>67.86</v>
      </c>
      <c r="P5" s="97">
        <f t="shared" si="11"/>
        <v>99</v>
      </c>
      <c r="Q5" s="97">
        <f t="shared" si="11"/>
        <v>77.22</v>
      </c>
      <c r="R5" s="97">
        <f t="shared" si="11"/>
        <v>118.8</v>
      </c>
      <c r="S5" s="97">
        <f t="shared" si="11"/>
        <v>92.664000000000001</v>
      </c>
      <c r="T5" s="97">
        <f t="shared" si="11"/>
        <v>188.8</v>
      </c>
      <c r="U5" s="97">
        <f t="shared" si="11"/>
        <v>147.26400000000001</v>
      </c>
      <c r="V5" s="110">
        <f>+E44</f>
        <v>155.94999999999999</v>
      </c>
      <c r="W5" s="110">
        <f>+E45</f>
        <v>519.49</v>
      </c>
      <c r="X5" s="110">
        <f>+E46</f>
        <v>36.46</v>
      </c>
      <c r="Y5" s="97">
        <f t="shared" ref="Y5:Z9" si="12">+Y4</f>
        <v>48.99</v>
      </c>
      <c r="Z5" s="97">
        <f t="shared" si="12"/>
        <v>111.9</v>
      </c>
      <c r="AA5" s="70">
        <f>IF([1]Datos!E$11=[1]Retribuciones!C5,[1]Retribuciones!AD5,0)</f>
        <v>0</v>
      </c>
      <c r="AB5" s="70" t="str">
        <f t="shared" si="0"/>
        <v/>
      </c>
      <c r="AC5" s="90">
        <f>+AC4</f>
        <v>5</v>
      </c>
      <c r="AD5" s="91">
        <f>+AD4</f>
        <v>10</v>
      </c>
      <c r="AE5" s="92" t="str">
        <f>+AE4</f>
        <v>Isla Capitalina</v>
      </c>
      <c r="AF5" s="177"/>
      <c r="AG5" s="93">
        <f t="shared" si="1"/>
        <v>3437.08</v>
      </c>
      <c r="AH5" s="94">
        <f t="shared" si="2"/>
        <v>2178.5243999999998</v>
      </c>
      <c r="AI5" s="93">
        <f t="shared" ref="AI5:AI12" si="13">+(AG5*12)+(AH5*2)</f>
        <v>45602.008799999996</v>
      </c>
      <c r="AJ5" s="95">
        <f>+'[1]IRPF Catred'!B37</f>
        <v>0.21154822438283008</v>
      </c>
      <c r="AK5" s="93">
        <f t="shared" si="3"/>
        <v>727.10817106173761</v>
      </c>
      <c r="AL5" s="96">
        <f t="shared" si="4"/>
        <v>2549.0818289382623</v>
      </c>
      <c r="AM5" s="96">
        <f t="shared" si="5"/>
        <v>1187.971139656408</v>
      </c>
      <c r="AN5" s="96">
        <f t="shared" si="6"/>
        <v>4105.8532603435933</v>
      </c>
      <c r="AO5" s="96">
        <f t="shared" si="7"/>
        <v>9647.0239899301905</v>
      </c>
      <c r="AP5" s="96">
        <f t="shared" ref="AP5:AP13" si="14">+AI5-((Y5+Z5)*14)-AO5</f>
        <v>33702.524810069808</v>
      </c>
      <c r="AR5" s="96">
        <f t="shared" si="8"/>
        <v>817.03</v>
      </c>
      <c r="AS5" s="177"/>
      <c r="AT5" s="177"/>
    </row>
    <row r="6" spans="1:46" hidden="1" x14ac:dyDescent="0.25">
      <c r="A6" s="86" t="s">
        <v>53</v>
      </c>
      <c r="B6" s="86">
        <v>24</v>
      </c>
      <c r="C6" s="87" t="s">
        <v>68</v>
      </c>
      <c r="D6" s="88">
        <f t="shared" ref="D6:G9" si="15">+D5</f>
        <v>1179.96</v>
      </c>
      <c r="E6" s="88">
        <f t="shared" si="15"/>
        <v>728.13</v>
      </c>
      <c r="F6" s="88">
        <f t="shared" si="15"/>
        <v>45.410000000000004</v>
      </c>
      <c r="G6" s="88">
        <f t="shared" si="15"/>
        <v>28.02</v>
      </c>
      <c r="H6" s="110">
        <f>+F30</f>
        <v>628.76</v>
      </c>
      <c r="I6" s="88">
        <f t="shared" si="9"/>
        <v>628.76</v>
      </c>
      <c r="J6" s="110">
        <f>+F32</f>
        <v>653.79999999999995</v>
      </c>
      <c r="K6" s="89">
        <f t="shared" si="10"/>
        <v>509.964</v>
      </c>
      <c r="L6" s="97">
        <f t="shared" ref="L6:L13" si="16">+L5</f>
        <v>55</v>
      </c>
      <c r="M6" s="97">
        <f t="shared" si="11"/>
        <v>42.9</v>
      </c>
      <c r="N6" s="97">
        <f t="shared" si="11"/>
        <v>87</v>
      </c>
      <c r="O6" s="97">
        <f t="shared" si="11"/>
        <v>67.86</v>
      </c>
      <c r="P6" s="97">
        <f t="shared" si="11"/>
        <v>99</v>
      </c>
      <c r="Q6" s="97">
        <f t="shared" si="11"/>
        <v>77.22</v>
      </c>
      <c r="R6" s="97">
        <f t="shared" si="11"/>
        <v>118.8</v>
      </c>
      <c r="S6" s="97">
        <f t="shared" si="11"/>
        <v>92.664000000000001</v>
      </c>
      <c r="T6" s="97">
        <f t="shared" si="11"/>
        <v>188.8</v>
      </c>
      <c r="U6" s="97">
        <f t="shared" si="11"/>
        <v>147.26400000000001</v>
      </c>
      <c r="V6" s="110">
        <f>+F44</f>
        <v>138.61000000000001</v>
      </c>
      <c r="W6" s="110">
        <f>+F45</f>
        <v>461.76</v>
      </c>
      <c r="X6" s="110">
        <f>+F46</f>
        <v>32.47</v>
      </c>
      <c r="Y6" s="97">
        <f t="shared" si="12"/>
        <v>48.99</v>
      </c>
      <c r="Z6" s="97">
        <f t="shared" si="12"/>
        <v>111.9</v>
      </c>
      <c r="AA6" s="70">
        <f>IF([1]Datos!E$11=[1]Retribuciones!C6,[1]Retribuciones!AD6,0)</f>
        <v>0</v>
      </c>
      <c r="AB6" s="70" t="str">
        <f t="shared" si="0"/>
        <v/>
      </c>
      <c r="AC6" s="90">
        <f t="shared" ref="AC6:AE19" si="17">+AC5</f>
        <v>5</v>
      </c>
      <c r="AD6" s="91">
        <f t="shared" si="17"/>
        <v>10</v>
      </c>
      <c r="AE6" s="92" t="str">
        <f t="shared" si="17"/>
        <v>Isla Capitalina</v>
      </c>
      <c r="AF6" s="177"/>
      <c r="AG6" s="93">
        <f t="shared" si="1"/>
        <v>3244.03</v>
      </c>
      <c r="AH6" s="94">
        <f t="shared" si="2"/>
        <v>2014.1179999999999</v>
      </c>
      <c r="AI6" s="93">
        <f t="shared" si="13"/>
        <v>42956.595999999998</v>
      </c>
      <c r="AJ6" s="95">
        <f>+'[1]IRPF Secund'!B37</f>
        <v>0.20145853945549197</v>
      </c>
      <c r="AK6" s="93">
        <f t="shared" si="3"/>
        <v>653.53754574979962</v>
      </c>
      <c r="AL6" s="96">
        <f t="shared" si="4"/>
        <v>2429.6024542502009</v>
      </c>
      <c r="AM6" s="96">
        <f t="shared" si="5"/>
        <v>1059.2988163208163</v>
      </c>
      <c r="AN6" s="96">
        <f t="shared" si="6"/>
        <v>3877.0691836791848</v>
      </c>
      <c r="AO6" s="96">
        <f t="shared" si="7"/>
        <v>8653.9730901396288</v>
      </c>
      <c r="AP6" s="96">
        <f t="shared" si="14"/>
        <v>32050.16290986037</v>
      </c>
      <c r="AR6" s="96">
        <f t="shared" si="8"/>
        <v>817.03</v>
      </c>
      <c r="AS6" s="177"/>
      <c r="AT6" s="177"/>
    </row>
    <row r="7" spans="1:46" hidden="1" x14ac:dyDescent="0.25">
      <c r="A7" s="86" t="s">
        <v>53</v>
      </c>
      <c r="B7" s="86">
        <v>24</v>
      </c>
      <c r="C7" s="87" t="s">
        <v>82</v>
      </c>
      <c r="D7" s="88">
        <f t="shared" si="15"/>
        <v>1179.96</v>
      </c>
      <c r="E7" s="88">
        <f t="shared" si="15"/>
        <v>728.13</v>
      </c>
      <c r="F7" s="88">
        <f t="shared" si="15"/>
        <v>45.410000000000004</v>
      </c>
      <c r="G7" s="88">
        <f t="shared" si="15"/>
        <v>28.02</v>
      </c>
      <c r="H7" s="88">
        <f>+H6</f>
        <v>628.76</v>
      </c>
      <c r="I7" s="88">
        <f t="shared" si="9"/>
        <v>628.76</v>
      </c>
      <c r="J7" s="88">
        <f t="shared" ref="J7:J9" si="18">+J6</f>
        <v>653.79999999999995</v>
      </c>
      <c r="K7" s="89">
        <f t="shared" si="10"/>
        <v>509.964</v>
      </c>
      <c r="L7" s="97">
        <f t="shared" si="16"/>
        <v>55</v>
      </c>
      <c r="M7" s="97">
        <f t="shared" si="11"/>
        <v>42.9</v>
      </c>
      <c r="N7" s="97">
        <f t="shared" si="11"/>
        <v>87</v>
      </c>
      <c r="O7" s="97">
        <f t="shared" si="11"/>
        <v>67.86</v>
      </c>
      <c r="P7" s="97">
        <f t="shared" si="11"/>
        <v>99</v>
      </c>
      <c r="Q7" s="97">
        <f t="shared" si="11"/>
        <v>77.22</v>
      </c>
      <c r="R7" s="97">
        <f t="shared" si="11"/>
        <v>118.8</v>
      </c>
      <c r="S7" s="97">
        <f t="shared" si="11"/>
        <v>92.664000000000001</v>
      </c>
      <c r="T7" s="97">
        <f t="shared" si="11"/>
        <v>188.8</v>
      </c>
      <c r="U7" s="97">
        <f t="shared" si="11"/>
        <v>147.26400000000001</v>
      </c>
      <c r="V7" s="97">
        <f t="shared" si="11"/>
        <v>138.61000000000001</v>
      </c>
      <c r="W7" s="97">
        <f t="shared" si="11"/>
        <v>461.76</v>
      </c>
      <c r="X7" s="97">
        <f t="shared" si="11"/>
        <v>32.47</v>
      </c>
      <c r="Y7" s="97">
        <f t="shared" si="12"/>
        <v>48.99</v>
      </c>
      <c r="Z7" s="97">
        <f t="shared" si="12"/>
        <v>111.9</v>
      </c>
      <c r="AA7" s="70">
        <f>IF([1]Datos!E$11=[1]Retribuciones!C7,[1]Retribuciones!AD7,0)</f>
        <v>0</v>
      </c>
      <c r="AB7" s="70" t="str">
        <f t="shared" si="0"/>
        <v/>
      </c>
      <c r="AC7" s="90">
        <f t="shared" si="17"/>
        <v>5</v>
      </c>
      <c r="AD7" s="91">
        <f t="shared" si="17"/>
        <v>10</v>
      </c>
      <c r="AE7" s="92" t="str">
        <f t="shared" si="17"/>
        <v>Isla Capitalina</v>
      </c>
      <c r="AF7" s="177"/>
      <c r="AG7" s="93">
        <f t="shared" si="1"/>
        <v>3244.03</v>
      </c>
      <c r="AH7" s="94">
        <f t="shared" si="2"/>
        <v>2014.1179999999999</v>
      </c>
      <c r="AI7" s="93">
        <f t="shared" si="13"/>
        <v>42956.595999999998</v>
      </c>
      <c r="AJ7" s="95">
        <f>+'[1]IRPF Secund'!B37</f>
        <v>0.20145853945549197</v>
      </c>
      <c r="AK7" s="93">
        <f t="shared" si="3"/>
        <v>653.53754574979962</v>
      </c>
      <c r="AL7" s="96">
        <f t="shared" si="4"/>
        <v>2429.6024542502009</v>
      </c>
      <c r="AM7" s="96">
        <f t="shared" si="5"/>
        <v>1059.2988163208163</v>
      </c>
      <c r="AN7" s="96">
        <f t="shared" si="6"/>
        <v>3877.0691836791848</v>
      </c>
      <c r="AO7" s="96">
        <f t="shared" si="7"/>
        <v>8653.9730901396288</v>
      </c>
      <c r="AP7" s="96">
        <f t="shared" si="14"/>
        <v>32050.16290986037</v>
      </c>
      <c r="AR7" s="96">
        <f t="shared" si="8"/>
        <v>817.03</v>
      </c>
      <c r="AS7" s="177"/>
      <c r="AT7" s="177"/>
    </row>
    <row r="8" spans="1:46" hidden="1" x14ac:dyDescent="0.25">
      <c r="A8" s="86" t="s">
        <v>53</v>
      </c>
      <c r="B8" s="86">
        <v>24</v>
      </c>
      <c r="C8" s="87" t="s">
        <v>67</v>
      </c>
      <c r="D8" s="88">
        <f t="shared" si="15"/>
        <v>1179.96</v>
      </c>
      <c r="E8" s="88">
        <f t="shared" si="15"/>
        <v>728.13</v>
      </c>
      <c r="F8" s="88">
        <f t="shared" si="15"/>
        <v>45.410000000000004</v>
      </c>
      <c r="G8" s="88">
        <f t="shared" si="15"/>
        <v>28.02</v>
      </c>
      <c r="H8" s="88">
        <f>+H7</f>
        <v>628.76</v>
      </c>
      <c r="I8" s="88">
        <f t="shared" si="9"/>
        <v>628.76</v>
      </c>
      <c r="J8" s="88">
        <f t="shared" si="18"/>
        <v>653.79999999999995</v>
      </c>
      <c r="K8" s="89">
        <f t="shared" si="10"/>
        <v>509.964</v>
      </c>
      <c r="L8" s="97">
        <f t="shared" si="16"/>
        <v>55</v>
      </c>
      <c r="M8" s="97">
        <f t="shared" si="11"/>
        <v>42.9</v>
      </c>
      <c r="N8" s="97">
        <f t="shared" si="11"/>
        <v>87</v>
      </c>
      <c r="O8" s="97">
        <f t="shared" si="11"/>
        <v>67.86</v>
      </c>
      <c r="P8" s="97">
        <f t="shared" si="11"/>
        <v>99</v>
      </c>
      <c r="Q8" s="97">
        <f t="shared" si="11"/>
        <v>77.22</v>
      </c>
      <c r="R8" s="97">
        <f t="shared" si="11"/>
        <v>118.8</v>
      </c>
      <c r="S8" s="97">
        <f t="shared" si="11"/>
        <v>92.664000000000001</v>
      </c>
      <c r="T8" s="97">
        <f t="shared" si="11"/>
        <v>188.8</v>
      </c>
      <c r="U8" s="97">
        <f t="shared" si="11"/>
        <v>147.26400000000001</v>
      </c>
      <c r="V8" s="97">
        <f t="shared" si="11"/>
        <v>138.61000000000001</v>
      </c>
      <c r="W8" s="97">
        <f t="shared" si="11"/>
        <v>461.76</v>
      </c>
      <c r="X8" s="97">
        <f t="shared" si="11"/>
        <v>32.47</v>
      </c>
      <c r="Y8" s="97">
        <f t="shared" si="12"/>
        <v>48.99</v>
      </c>
      <c r="Z8" s="97">
        <f t="shared" si="12"/>
        <v>111.9</v>
      </c>
      <c r="AA8" s="70">
        <f>IF([1]Datos!E$11=[1]Retribuciones!C8,[1]Retribuciones!AD8,0)</f>
        <v>0</v>
      </c>
      <c r="AB8" s="70" t="str">
        <f t="shared" si="0"/>
        <v/>
      </c>
      <c r="AC8" s="90">
        <f t="shared" si="17"/>
        <v>5</v>
      </c>
      <c r="AD8" s="91">
        <f t="shared" si="17"/>
        <v>10</v>
      </c>
      <c r="AE8" s="92" t="str">
        <f t="shared" si="17"/>
        <v>Isla Capitalina</v>
      </c>
      <c r="AF8" s="177"/>
      <c r="AG8" s="93">
        <f t="shared" si="1"/>
        <v>3244.03</v>
      </c>
      <c r="AH8" s="94">
        <f t="shared" si="2"/>
        <v>2014.1179999999999</v>
      </c>
      <c r="AI8" s="93">
        <f t="shared" si="13"/>
        <v>42956.595999999998</v>
      </c>
      <c r="AJ8" s="95">
        <f>+'[1]IRPF Secund'!B37</f>
        <v>0.20145853945549197</v>
      </c>
      <c r="AK8" s="93">
        <f t="shared" si="3"/>
        <v>653.53754574979962</v>
      </c>
      <c r="AL8" s="96">
        <f t="shared" si="4"/>
        <v>2429.6024542502009</v>
      </c>
      <c r="AM8" s="96">
        <f t="shared" si="5"/>
        <v>1059.2988163208163</v>
      </c>
      <c r="AN8" s="96">
        <f t="shared" si="6"/>
        <v>3877.0691836791848</v>
      </c>
      <c r="AO8" s="96">
        <f t="shared" si="7"/>
        <v>8653.9730901396288</v>
      </c>
      <c r="AP8" s="96">
        <f t="shared" si="14"/>
        <v>32050.16290986037</v>
      </c>
      <c r="AR8" s="96">
        <f t="shared" si="8"/>
        <v>817.03</v>
      </c>
      <c r="AS8" s="177"/>
      <c r="AT8" s="177"/>
    </row>
    <row r="9" spans="1:46" hidden="1" x14ac:dyDescent="0.25">
      <c r="A9" s="86" t="s">
        <v>53</v>
      </c>
      <c r="B9" s="86">
        <v>24</v>
      </c>
      <c r="C9" s="87" t="s">
        <v>81</v>
      </c>
      <c r="D9" s="88">
        <f t="shared" si="15"/>
        <v>1179.96</v>
      </c>
      <c r="E9" s="88">
        <f t="shared" si="15"/>
        <v>728.13</v>
      </c>
      <c r="F9" s="88">
        <f t="shared" si="15"/>
        <v>45.410000000000004</v>
      </c>
      <c r="G9" s="88">
        <f t="shared" si="15"/>
        <v>28.02</v>
      </c>
      <c r="H9" s="88">
        <f>+H8</f>
        <v>628.76</v>
      </c>
      <c r="I9" s="88">
        <f t="shared" si="9"/>
        <v>628.76</v>
      </c>
      <c r="J9" s="88">
        <f t="shared" si="18"/>
        <v>653.79999999999995</v>
      </c>
      <c r="K9" s="89">
        <f t="shared" si="10"/>
        <v>509.964</v>
      </c>
      <c r="L9" s="97">
        <f t="shared" si="16"/>
        <v>55</v>
      </c>
      <c r="M9" s="97">
        <f t="shared" si="11"/>
        <v>42.9</v>
      </c>
      <c r="N9" s="97">
        <f t="shared" si="11"/>
        <v>87</v>
      </c>
      <c r="O9" s="97">
        <f t="shared" si="11"/>
        <v>67.86</v>
      </c>
      <c r="P9" s="97">
        <f t="shared" si="11"/>
        <v>99</v>
      </c>
      <c r="Q9" s="97">
        <f t="shared" si="11"/>
        <v>77.22</v>
      </c>
      <c r="R9" s="97">
        <f t="shared" si="11"/>
        <v>118.8</v>
      </c>
      <c r="S9" s="97">
        <f t="shared" si="11"/>
        <v>92.664000000000001</v>
      </c>
      <c r="T9" s="97">
        <f t="shared" si="11"/>
        <v>188.8</v>
      </c>
      <c r="U9" s="97">
        <f t="shared" si="11"/>
        <v>147.26400000000001</v>
      </c>
      <c r="V9" s="97">
        <f t="shared" si="11"/>
        <v>138.61000000000001</v>
      </c>
      <c r="W9" s="97">
        <f t="shared" si="11"/>
        <v>461.76</v>
      </c>
      <c r="X9" s="97">
        <f t="shared" si="11"/>
        <v>32.47</v>
      </c>
      <c r="Y9" s="97">
        <f t="shared" si="12"/>
        <v>48.99</v>
      </c>
      <c r="Z9" s="97">
        <f t="shared" si="12"/>
        <v>111.9</v>
      </c>
      <c r="AA9" s="70">
        <f>IF([1]Datos!E$11=[1]Retribuciones!C9,[1]Retribuciones!AD9,0)</f>
        <v>10</v>
      </c>
      <c r="AB9" s="70" t="str">
        <f t="shared" si="0"/>
        <v>A1</v>
      </c>
      <c r="AC9" s="90">
        <f t="shared" si="17"/>
        <v>5</v>
      </c>
      <c r="AD9" s="91">
        <f t="shared" si="17"/>
        <v>10</v>
      </c>
      <c r="AE9" s="92" t="str">
        <f t="shared" si="17"/>
        <v>Isla Capitalina</v>
      </c>
      <c r="AF9" s="177"/>
      <c r="AG9" s="93">
        <f t="shared" si="1"/>
        <v>3244.03</v>
      </c>
      <c r="AH9" s="94">
        <f t="shared" si="2"/>
        <v>2014.1179999999999</v>
      </c>
      <c r="AI9" s="93">
        <f t="shared" si="13"/>
        <v>42956.595999999998</v>
      </c>
      <c r="AJ9" s="95">
        <f>+'[1]IRPF Secund'!B37</f>
        <v>0.20145853945549197</v>
      </c>
      <c r="AK9" s="93">
        <f t="shared" si="3"/>
        <v>653.53754574979962</v>
      </c>
      <c r="AL9" s="96">
        <f t="shared" si="4"/>
        <v>2429.6024542502009</v>
      </c>
      <c r="AM9" s="96">
        <f t="shared" si="5"/>
        <v>1059.2988163208163</v>
      </c>
      <c r="AN9" s="96">
        <f t="shared" si="6"/>
        <v>3877.0691836791848</v>
      </c>
      <c r="AO9" s="96">
        <f t="shared" si="7"/>
        <v>8653.9730901396288</v>
      </c>
      <c r="AP9" s="96">
        <f t="shared" si="14"/>
        <v>32050.16290986037</v>
      </c>
      <c r="AR9" s="96">
        <f t="shared" si="8"/>
        <v>817.03</v>
      </c>
      <c r="AS9" s="177"/>
      <c r="AT9" s="177"/>
    </row>
    <row r="10" spans="1:46" hidden="1" x14ac:dyDescent="0.25">
      <c r="A10" s="86" t="s">
        <v>80</v>
      </c>
      <c r="B10" s="86">
        <v>24</v>
      </c>
      <c r="C10" s="87" t="s">
        <v>69</v>
      </c>
      <c r="D10" s="110">
        <f>+J26</f>
        <v>1020.28</v>
      </c>
      <c r="E10" s="110">
        <f>+J27</f>
        <v>744.11</v>
      </c>
      <c r="F10" s="110">
        <f>+J28</f>
        <v>37.03</v>
      </c>
      <c r="G10" s="110">
        <f>+J29</f>
        <v>26.997325</v>
      </c>
      <c r="H10" s="88">
        <f>+H9</f>
        <v>628.76</v>
      </c>
      <c r="I10" s="88">
        <f>+H10</f>
        <v>628.76</v>
      </c>
      <c r="J10" s="103">
        <f>+J32</f>
        <v>655.81545779999999</v>
      </c>
      <c r="K10" s="89">
        <f t="shared" si="10"/>
        <v>511.53605708399999</v>
      </c>
      <c r="L10" s="97">
        <f t="shared" si="16"/>
        <v>55</v>
      </c>
      <c r="M10" s="97">
        <f t="shared" si="11"/>
        <v>42.9</v>
      </c>
      <c r="N10" s="97">
        <f t="shared" si="11"/>
        <v>87</v>
      </c>
      <c r="O10" s="97">
        <f t="shared" si="11"/>
        <v>67.86</v>
      </c>
      <c r="P10" s="97">
        <f t="shared" si="11"/>
        <v>99</v>
      </c>
      <c r="Q10" s="97">
        <f t="shared" si="11"/>
        <v>77.22</v>
      </c>
      <c r="R10" s="97">
        <f t="shared" si="11"/>
        <v>118.8</v>
      </c>
      <c r="S10" s="97">
        <f t="shared" si="11"/>
        <v>92.664000000000001</v>
      </c>
      <c r="T10" s="97">
        <f t="shared" si="11"/>
        <v>188.8</v>
      </c>
      <c r="U10" s="97">
        <f t="shared" si="11"/>
        <v>147.26400000000001</v>
      </c>
      <c r="V10" s="110">
        <f>+J44</f>
        <v>124.77114999999999</v>
      </c>
      <c r="W10" s="110">
        <f>+J45</f>
        <v>415.6</v>
      </c>
      <c r="X10" s="110">
        <f>+J46</f>
        <v>29.19</v>
      </c>
      <c r="Y10" s="112">
        <f>+J47</f>
        <v>38.56</v>
      </c>
      <c r="Z10" s="112">
        <f>+J48</f>
        <v>88.07</v>
      </c>
      <c r="AA10" s="70">
        <f>IF([1]Datos!E$11=[1]Retribuciones!C10,[1]Retribuciones!AD10,0)</f>
        <v>0</v>
      </c>
      <c r="AB10" s="70" t="str">
        <f t="shared" si="0"/>
        <v/>
      </c>
      <c r="AC10" s="90">
        <f t="shared" si="17"/>
        <v>5</v>
      </c>
      <c r="AD10" s="91">
        <f>+'[1]Tiempos de cotización'!K6</f>
        <v>0</v>
      </c>
      <c r="AE10" s="92" t="str">
        <f t="shared" si="17"/>
        <v>Isla Capitalina</v>
      </c>
      <c r="AF10" s="177"/>
      <c r="AG10" s="93">
        <f t="shared" si="1"/>
        <v>3072.5266078000004</v>
      </c>
      <c r="AH10" s="94">
        <f t="shared" si="2"/>
        <v>2031.6700570840001</v>
      </c>
      <c r="AI10" s="93">
        <f t="shared" si="13"/>
        <v>40933.659407768006</v>
      </c>
      <c r="AJ10" s="95">
        <f>'[1]IRPF TecnFP'!B37</f>
        <v>0.19764910426018828</v>
      </c>
      <c r="AK10" s="93">
        <f t="shared" si="3"/>
        <v>607.28213184726485</v>
      </c>
      <c r="AL10" s="96">
        <f t="shared" si="4"/>
        <v>2338.6144759527356</v>
      </c>
      <c r="AM10" s="96">
        <f t="shared" si="5"/>
        <v>1008.8398987821631</v>
      </c>
      <c r="AN10" s="96">
        <f t="shared" si="6"/>
        <v>3842.0967661018376</v>
      </c>
      <c r="AO10" s="96">
        <f t="shared" si="7"/>
        <v>8090.501116036975</v>
      </c>
      <c r="AP10" s="96">
        <f t="shared" si="14"/>
        <v>31070.33829173103</v>
      </c>
      <c r="AR10" s="96">
        <f>+((D10+(F$19*AA$19)+(F$18*AA$18))/2)</f>
        <v>737.19</v>
      </c>
      <c r="AS10" s="177"/>
      <c r="AT10" s="177"/>
    </row>
    <row r="11" spans="1:46" hidden="1" x14ac:dyDescent="0.25">
      <c r="A11" s="86" t="s">
        <v>80</v>
      </c>
      <c r="B11" s="86">
        <v>24</v>
      </c>
      <c r="C11" s="87" t="s">
        <v>66</v>
      </c>
      <c r="D11" s="88">
        <f t="shared" ref="D11:G13" si="19">+D10</f>
        <v>1020.28</v>
      </c>
      <c r="E11" s="88">
        <f t="shared" si="19"/>
        <v>744.11</v>
      </c>
      <c r="F11" s="88">
        <f t="shared" si="19"/>
        <v>37.03</v>
      </c>
      <c r="G11" s="88">
        <f t="shared" si="19"/>
        <v>26.997325</v>
      </c>
      <c r="H11" s="88">
        <f>+H10</f>
        <v>628.76</v>
      </c>
      <c r="I11" s="88">
        <f t="shared" si="9"/>
        <v>628.76</v>
      </c>
      <c r="J11" s="88">
        <f>+J10</f>
        <v>655.81545779999999</v>
      </c>
      <c r="K11" s="89">
        <f t="shared" si="10"/>
        <v>511.53605708399999</v>
      </c>
      <c r="L11" s="97">
        <f t="shared" si="16"/>
        <v>55</v>
      </c>
      <c r="M11" s="97">
        <f t="shared" si="11"/>
        <v>42.9</v>
      </c>
      <c r="N11" s="97">
        <f t="shared" si="11"/>
        <v>87</v>
      </c>
      <c r="O11" s="97">
        <f t="shared" si="11"/>
        <v>67.86</v>
      </c>
      <c r="P11" s="97">
        <f t="shared" si="11"/>
        <v>99</v>
      </c>
      <c r="Q11" s="97">
        <f t="shared" si="11"/>
        <v>77.22</v>
      </c>
      <c r="R11" s="97">
        <f t="shared" si="11"/>
        <v>118.8</v>
      </c>
      <c r="S11" s="97">
        <f t="shared" si="11"/>
        <v>92.664000000000001</v>
      </c>
      <c r="T11" s="97">
        <f t="shared" si="11"/>
        <v>188.8</v>
      </c>
      <c r="U11" s="97">
        <f t="shared" si="11"/>
        <v>147.26400000000001</v>
      </c>
      <c r="V11" s="97">
        <f t="shared" si="11"/>
        <v>124.77114999999999</v>
      </c>
      <c r="W11" s="97">
        <f t="shared" si="11"/>
        <v>415.6</v>
      </c>
      <c r="X11" s="97">
        <f t="shared" si="11"/>
        <v>29.19</v>
      </c>
      <c r="Y11" s="97">
        <f t="shared" si="11"/>
        <v>38.56</v>
      </c>
      <c r="Z11" s="97">
        <f t="shared" si="11"/>
        <v>88.07</v>
      </c>
      <c r="AA11" s="70">
        <f>IF([1]Datos!E$11=[1]Retribuciones!C11,[1]Retribuciones!AD11,0)</f>
        <v>0</v>
      </c>
      <c r="AB11" s="70" t="str">
        <f t="shared" si="0"/>
        <v/>
      </c>
      <c r="AC11" s="90">
        <f t="shared" si="17"/>
        <v>5</v>
      </c>
      <c r="AD11" s="91">
        <f>+AD10</f>
        <v>0</v>
      </c>
      <c r="AE11" s="92" t="str">
        <f t="shared" si="17"/>
        <v>Isla Capitalina</v>
      </c>
      <c r="AF11" s="177"/>
      <c r="AG11" s="93">
        <f t="shared" si="1"/>
        <v>3072.5266078000004</v>
      </c>
      <c r="AH11" s="94">
        <f t="shared" si="2"/>
        <v>2031.6700570840001</v>
      </c>
      <c r="AI11" s="93">
        <f t="shared" si="13"/>
        <v>40933.659407768006</v>
      </c>
      <c r="AJ11" s="95">
        <f>+'[1]IRPF TecnFP'!B37</f>
        <v>0.19764910426018828</v>
      </c>
      <c r="AK11" s="93">
        <f t="shared" si="3"/>
        <v>607.28213184726485</v>
      </c>
      <c r="AL11" s="96">
        <f t="shared" si="4"/>
        <v>2338.6144759527356</v>
      </c>
      <c r="AM11" s="96">
        <f t="shared" si="5"/>
        <v>1008.8398987821631</v>
      </c>
      <c r="AN11" s="96">
        <f t="shared" si="6"/>
        <v>3842.0967661018376</v>
      </c>
      <c r="AO11" s="96">
        <f t="shared" si="7"/>
        <v>8090.501116036975</v>
      </c>
      <c r="AP11" s="96">
        <f t="shared" si="14"/>
        <v>31070.33829173103</v>
      </c>
      <c r="AR11" s="96">
        <f t="shared" si="8"/>
        <v>737.19</v>
      </c>
      <c r="AS11" s="177"/>
      <c r="AT11" s="177"/>
    </row>
    <row r="12" spans="1:46" hidden="1" x14ac:dyDescent="0.25">
      <c r="A12" s="86" t="s">
        <v>80</v>
      </c>
      <c r="B12" s="86">
        <v>21</v>
      </c>
      <c r="C12" s="87" t="s">
        <v>170</v>
      </c>
      <c r="D12" s="88">
        <f t="shared" si="19"/>
        <v>1020.28</v>
      </c>
      <c r="E12" s="88">
        <f t="shared" si="19"/>
        <v>744.11</v>
      </c>
      <c r="F12" s="88">
        <f t="shared" si="19"/>
        <v>37.03</v>
      </c>
      <c r="G12" s="88">
        <f t="shared" si="19"/>
        <v>26.997325</v>
      </c>
      <c r="H12" s="103">
        <f>+L30</f>
        <v>510.57</v>
      </c>
      <c r="I12" s="88">
        <f t="shared" si="9"/>
        <v>510.57</v>
      </c>
      <c r="J12" s="103">
        <f>+M32</f>
        <v>773.98</v>
      </c>
      <c r="K12" s="89">
        <f t="shared" si="10"/>
        <v>603.70440000000008</v>
      </c>
      <c r="L12" s="97">
        <f t="shared" si="16"/>
        <v>55</v>
      </c>
      <c r="M12" s="97">
        <f t="shared" si="11"/>
        <v>42.9</v>
      </c>
      <c r="N12" s="97">
        <f t="shared" si="11"/>
        <v>87</v>
      </c>
      <c r="O12" s="97">
        <f t="shared" si="11"/>
        <v>67.86</v>
      </c>
      <c r="P12" s="97">
        <f t="shared" si="11"/>
        <v>99</v>
      </c>
      <c r="Q12" s="97">
        <f t="shared" si="11"/>
        <v>77.22</v>
      </c>
      <c r="R12" s="97">
        <f t="shared" si="11"/>
        <v>118.8</v>
      </c>
      <c r="S12" s="97">
        <f t="shared" si="11"/>
        <v>92.664000000000001</v>
      </c>
      <c r="T12" s="97">
        <f t="shared" si="11"/>
        <v>188.8</v>
      </c>
      <c r="U12" s="97">
        <f t="shared" si="11"/>
        <v>147.26400000000001</v>
      </c>
      <c r="V12" s="97">
        <f t="shared" si="11"/>
        <v>124.77114999999999</v>
      </c>
      <c r="W12" s="97">
        <f t="shared" si="11"/>
        <v>415.6</v>
      </c>
      <c r="X12" s="97">
        <f t="shared" si="11"/>
        <v>29.19</v>
      </c>
      <c r="Y12" s="97">
        <f t="shared" si="11"/>
        <v>38.56</v>
      </c>
      <c r="Z12" s="97">
        <f t="shared" si="11"/>
        <v>88.07</v>
      </c>
      <c r="AA12" s="70">
        <f>IF([1]Datos!E$11=[1]Retribuciones!C12,[1]Retribuciones!AD12,0)</f>
        <v>0</v>
      </c>
      <c r="AB12" s="70" t="str">
        <f t="shared" si="0"/>
        <v/>
      </c>
      <c r="AC12" s="90">
        <f t="shared" si="17"/>
        <v>5</v>
      </c>
      <c r="AD12" s="91">
        <f t="shared" si="17"/>
        <v>0</v>
      </c>
      <c r="AE12" s="92" t="str">
        <f t="shared" si="17"/>
        <v>Isla Capitalina</v>
      </c>
      <c r="AF12" s="177"/>
      <c r="AG12" s="93">
        <f t="shared" si="1"/>
        <v>3072.5011500000005</v>
      </c>
      <c r="AH12" s="94">
        <f>+E12+(G$15*AA$15)+(G$16*AA$16)+(G$17*AA$17)+(G$18*AA$18)+(G$19*AA$19)+(IF(AC12=M$2,M12,IF(AC12=O$2,O12,IF(AC12=Q$2,Q12,IF(AC12=S$2,S12,IF(AC12&gt;S$2,U12,0))))))+I12+K12</f>
        <v>2005.6484</v>
      </c>
      <c r="AI12" s="93">
        <f t="shared" si="13"/>
        <v>40881.310600000012</v>
      </c>
      <c r="AJ12" s="95">
        <f>+'[1]IRPF 1º y 2ª ESO'!B37</f>
        <v>0.19742671928307923</v>
      </c>
      <c r="AK12" s="93">
        <f t="shared" si="3"/>
        <v>606.59382203798816</v>
      </c>
      <c r="AL12" s="96">
        <f t="shared" si="4"/>
        <v>2339.2773279620124</v>
      </c>
      <c r="AM12" s="96">
        <f t="shared" si="5"/>
        <v>1002.5624056853451</v>
      </c>
      <c r="AN12" s="96">
        <f t="shared" si="6"/>
        <v>3822.327144314655</v>
      </c>
      <c r="AO12" s="96">
        <f t="shared" si="7"/>
        <v>8071.0630317505738</v>
      </c>
      <c r="AP12" s="96">
        <f t="shared" si="14"/>
        <v>31037.427568249437</v>
      </c>
      <c r="AR12" s="96">
        <f t="shared" si="8"/>
        <v>737.19</v>
      </c>
      <c r="AS12" s="177"/>
      <c r="AT12" s="177"/>
    </row>
    <row r="13" spans="1:46" hidden="1" x14ac:dyDescent="0.25">
      <c r="A13" s="86" t="s">
        <v>80</v>
      </c>
      <c r="B13" s="86">
        <v>21</v>
      </c>
      <c r="C13" s="87" t="s">
        <v>70</v>
      </c>
      <c r="D13" s="88">
        <f t="shared" si="19"/>
        <v>1020.28</v>
      </c>
      <c r="E13" s="88">
        <f t="shared" si="19"/>
        <v>744.11</v>
      </c>
      <c r="F13" s="88">
        <f t="shared" si="19"/>
        <v>37.03</v>
      </c>
      <c r="G13" s="88">
        <f t="shared" si="19"/>
        <v>26.997325</v>
      </c>
      <c r="H13" s="88">
        <f>+H12</f>
        <v>510.57</v>
      </c>
      <c r="I13" s="88">
        <f t="shared" si="9"/>
        <v>510.57</v>
      </c>
      <c r="J13" s="103">
        <v>694.41042499999992</v>
      </c>
      <c r="K13" s="89">
        <f t="shared" si="10"/>
        <v>541.64013149999994</v>
      </c>
      <c r="L13" s="97">
        <f t="shared" si="16"/>
        <v>55</v>
      </c>
      <c r="M13" s="97">
        <f t="shared" si="11"/>
        <v>42.9</v>
      </c>
      <c r="N13" s="97">
        <f t="shared" si="11"/>
        <v>87</v>
      </c>
      <c r="O13" s="97">
        <f t="shared" si="11"/>
        <v>67.86</v>
      </c>
      <c r="P13" s="97">
        <f t="shared" si="11"/>
        <v>99</v>
      </c>
      <c r="Q13" s="97">
        <f t="shared" si="11"/>
        <v>77.22</v>
      </c>
      <c r="R13" s="97">
        <f t="shared" si="11"/>
        <v>118.8</v>
      </c>
      <c r="S13" s="97">
        <f t="shared" si="11"/>
        <v>92.664000000000001</v>
      </c>
      <c r="T13" s="97">
        <f t="shared" si="11"/>
        <v>188.8</v>
      </c>
      <c r="U13" s="97">
        <f t="shared" si="11"/>
        <v>147.26400000000001</v>
      </c>
      <c r="V13" s="97">
        <f t="shared" si="11"/>
        <v>124.77114999999999</v>
      </c>
      <c r="W13" s="97">
        <f t="shared" si="11"/>
        <v>415.6</v>
      </c>
      <c r="X13" s="97">
        <f t="shared" si="11"/>
        <v>29.19</v>
      </c>
      <c r="Y13" s="97">
        <f t="shared" si="11"/>
        <v>38.56</v>
      </c>
      <c r="Z13" s="97">
        <f t="shared" si="11"/>
        <v>88.07</v>
      </c>
      <c r="AA13" s="70">
        <f>IF([1]Datos!E$11=[1]Retribuciones!C13,[1]Retribuciones!AD13,0)</f>
        <v>0</v>
      </c>
      <c r="AB13" s="70" t="str">
        <f>IF(AA13&gt;0,A13,"")</f>
        <v/>
      </c>
      <c r="AC13" s="90">
        <f t="shared" si="17"/>
        <v>5</v>
      </c>
      <c r="AD13" s="91">
        <f t="shared" si="17"/>
        <v>0</v>
      </c>
      <c r="AE13" s="92" t="str">
        <f t="shared" si="17"/>
        <v>Isla Capitalina</v>
      </c>
      <c r="AF13" s="177"/>
      <c r="AG13" s="93">
        <f>+D13+((F$15*AA$15)+(F$16*AA$16)+(F$17*AA$17)+(F$18*AA$18)+(F$19*AA$19))+H13+J13+(IF(AC13=L$2,L13,IF(AC13=N$2,N13,IF(AC13=P$2,P13,IF(AC13=R$2,R13,IF(AC13&gt;R$2,T13,0))))))+(IF(AE13=V$3,V13,W13+(X$15*AA$15)+(X$16*AA$16)+(X$17*AA$17)+(X$18*AA$18)+(X$19*AA$19)))</f>
        <v>2992.9315750000001</v>
      </c>
      <c r="AH13" s="94">
        <f>+E13+(G$15*AA$15)+(G$16*AA$16)+(G$17*AA$17)+(G$18*AA$18)+(G$19*AA$19)+(IF(AC13=M$2,M13,IF(AC13=O$2,O13,IF(AC13=Q$2,Q13,IF(AC13=S$2,S13,IF(AC13&gt;S$2,U13,0))))))+I13+K13</f>
        <v>1943.5841314999998</v>
      </c>
      <c r="AI13" s="93">
        <f>+(AG13*12)+(AH13*2)</f>
        <v>39802.347162999999</v>
      </c>
      <c r="AJ13" s="95">
        <f>+'[1]IRPF Maestros'!B37</f>
        <v>0.19440379057901822</v>
      </c>
      <c r="AK13" s="93">
        <f t="shared" si="3"/>
        <v>581.8372431236312</v>
      </c>
      <c r="AL13" s="96">
        <f t="shared" si="4"/>
        <v>2284.4643318763688</v>
      </c>
      <c r="AM13" s="96">
        <f>(+AG13+AH13)*AJ13</f>
        <v>959.67736559646016</v>
      </c>
      <c r="AN13" s="96">
        <f>(+AG13+AH13)-Y13-Y13-Z13-Z13-AM13</f>
        <v>3723.5783409035398</v>
      </c>
      <c r="AO13" s="96">
        <f t="shared" si="7"/>
        <v>7737.7271624292316</v>
      </c>
      <c r="AP13" s="96">
        <f t="shared" si="14"/>
        <v>30291.800000570765</v>
      </c>
      <c r="AR13" s="96">
        <f>+((D13+(F$19*AA$19)+(F$18*AA$18))/2)</f>
        <v>737.19</v>
      </c>
      <c r="AS13" s="177"/>
      <c r="AT13" s="177"/>
    </row>
    <row r="14" spans="1:46" hidden="1" x14ac:dyDescent="0.25">
      <c r="A14" s="86" t="s">
        <v>128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70">
        <f>+AD14</f>
        <v>0</v>
      </c>
      <c r="AB14" s="70"/>
      <c r="AC14" s="98"/>
      <c r="AD14" s="91">
        <f>+'[1]Tiempos de cotización'!K7</f>
        <v>0</v>
      </c>
      <c r="AE14" s="92" t="str">
        <f t="shared" si="17"/>
        <v>Isla Capitalina</v>
      </c>
      <c r="AF14" s="177"/>
      <c r="AG14" s="177"/>
      <c r="AH14" s="177"/>
      <c r="AI14" s="177"/>
      <c r="AP14" s="43"/>
      <c r="AS14" s="177"/>
      <c r="AT14" s="177"/>
    </row>
    <row r="15" spans="1:46" hidden="1" x14ac:dyDescent="0.25">
      <c r="A15" s="86" t="s">
        <v>127</v>
      </c>
      <c r="B15" s="177"/>
      <c r="C15" s="177"/>
      <c r="D15" s="177"/>
      <c r="E15" s="177"/>
      <c r="F15" s="110">
        <v>27.95</v>
      </c>
      <c r="G15" s="110">
        <v>24.14</v>
      </c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04">
        <v>100.3</v>
      </c>
      <c r="W15" s="104">
        <v>333.98</v>
      </c>
      <c r="X15" s="105">
        <v>23.52</v>
      </c>
      <c r="Y15" s="177"/>
      <c r="Z15" s="177"/>
      <c r="AA15" s="70">
        <f>+AD15</f>
        <v>0</v>
      </c>
      <c r="AB15" s="70"/>
      <c r="AC15" s="98"/>
      <c r="AD15" s="91">
        <f>+'[1]Tiempos de cotización'!K8</f>
        <v>0</v>
      </c>
      <c r="AE15" s="92" t="str">
        <f t="shared" si="17"/>
        <v>Isla Capitalina</v>
      </c>
      <c r="AF15" s="177"/>
      <c r="AG15" s="177"/>
      <c r="AH15" s="177"/>
      <c r="AI15" s="177"/>
      <c r="AS15" s="177"/>
      <c r="AT15" s="177"/>
    </row>
    <row r="16" spans="1:46" hidden="1" x14ac:dyDescent="0.25">
      <c r="A16" s="86" t="s">
        <v>126</v>
      </c>
      <c r="B16" s="177"/>
      <c r="C16" s="177"/>
      <c r="D16" s="177"/>
      <c r="E16" s="177"/>
      <c r="F16" s="110">
        <v>19.02</v>
      </c>
      <c r="G16" s="110">
        <v>18.84</v>
      </c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04">
        <v>65.72</v>
      </c>
      <c r="W16" s="104">
        <v>218.86</v>
      </c>
      <c r="X16" s="105">
        <v>15.44</v>
      </c>
      <c r="Y16" s="177"/>
      <c r="Z16" s="177"/>
      <c r="AA16" s="70">
        <f t="shared" ref="AA16:AA19" si="20">+AD16</f>
        <v>0</v>
      </c>
      <c r="AB16" s="70"/>
      <c r="AC16" s="98"/>
      <c r="AD16" s="91">
        <f>+'[1]Tiempos de cotización'!K9</f>
        <v>0</v>
      </c>
      <c r="AE16" s="92" t="str">
        <f t="shared" si="17"/>
        <v>Isla Capitalina</v>
      </c>
      <c r="AF16" s="177"/>
      <c r="AG16" s="177"/>
      <c r="AH16" s="177"/>
      <c r="AI16" s="177"/>
      <c r="AS16" s="177"/>
      <c r="AT16" s="177"/>
    </row>
    <row r="17" spans="1:48" hidden="1" x14ac:dyDescent="0.25">
      <c r="A17" s="86" t="s">
        <v>125</v>
      </c>
      <c r="B17" s="177"/>
      <c r="C17" s="177"/>
      <c r="D17" s="177"/>
      <c r="E17" s="177"/>
      <c r="F17" s="110">
        <v>14.32</v>
      </c>
      <c r="G17" s="110">
        <v>14.32</v>
      </c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04">
        <v>51.92</v>
      </c>
      <c r="W17" s="104">
        <v>172.79</v>
      </c>
      <c r="X17" s="105">
        <v>12.22</v>
      </c>
      <c r="Y17" s="177"/>
      <c r="Z17" s="177"/>
      <c r="AA17" s="70">
        <f t="shared" si="20"/>
        <v>0</v>
      </c>
      <c r="AB17" s="70"/>
      <c r="AC17" s="98"/>
      <c r="AD17" s="91">
        <f>+'[1]Tiempos de cotización'!K10</f>
        <v>0</v>
      </c>
      <c r="AE17" s="92" t="str">
        <f t="shared" si="17"/>
        <v>Isla Capitalina</v>
      </c>
      <c r="AF17" s="177"/>
      <c r="AG17" s="177"/>
      <c r="AH17" s="177"/>
      <c r="AI17" s="177"/>
      <c r="AS17" s="177"/>
      <c r="AT17" s="177"/>
    </row>
    <row r="18" spans="1:48" hidden="1" x14ac:dyDescent="0.25">
      <c r="A18" s="86" t="s">
        <v>53</v>
      </c>
      <c r="B18" s="177"/>
      <c r="C18" s="177"/>
      <c r="D18" s="177"/>
      <c r="E18" s="177"/>
      <c r="F18" s="110">
        <f>+F4</f>
        <v>45.410000000000004</v>
      </c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03">
        <f>+X4</f>
        <v>40.520000000000003</v>
      </c>
      <c r="Y18" s="177"/>
      <c r="Z18" s="177"/>
      <c r="AA18" s="70">
        <f t="shared" si="20"/>
        <v>10</v>
      </c>
      <c r="AC18" s="177"/>
      <c r="AD18" s="91">
        <f>+'[1]Tiempos de cotización'!K5</f>
        <v>10</v>
      </c>
      <c r="AE18" s="92" t="str">
        <f t="shared" si="17"/>
        <v>Isla Capitalina</v>
      </c>
      <c r="AF18" s="177"/>
      <c r="AG18" s="177"/>
      <c r="AH18" s="177"/>
      <c r="AI18" s="177"/>
      <c r="AJ18" s="177"/>
      <c r="AK18" s="177"/>
      <c r="AL18" s="177"/>
      <c r="AM18" s="177"/>
      <c r="AS18" s="177"/>
      <c r="AT18" s="177"/>
    </row>
    <row r="19" spans="1:48" hidden="1" x14ac:dyDescent="0.25">
      <c r="A19" s="86" t="s">
        <v>80</v>
      </c>
      <c r="B19" s="177"/>
      <c r="C19" s="177"/>
      <c r="D19" s="177"/>
      <c r="E19" s="177"/>
      <c r="F19" s="110">
        <f>+F10</f>
        <v>37.03</v>
      </c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03">
        <f>+X10</f>
        <v>29.19</v>
      </c>
      <c r="Y19" s="177"/>
      <c r="Z19" s="177"/>
      <c r="AA19" s="70">
        <f t="shared" si="20"/>
        <v>0</v>
      </c>
      <c r="AC19" s="177"/>
      <c r="AD19" s="91">
        <f>+'[1]Tiempos de cotización'!K6</f>
        <v>0</v>
      </c>
      <c r="AE19" s="92" t="str">
        <f t="shared" si="17"/>
        <v>Isla Capitalina</v>
      </c>
      <c r="AF19" s="177"/>
      <c r="AG19" s="177"/>
      <c r="AH19" s="177"/>
      <c r="AI19" s="177"/>
      <c r="AJ19" s="177"/>
      <c r="AK19" s="177"/>
      <c r="AL19" s="177"/>
      <c r="AM19" s="177"/>
      <c r="AS19" s="177"/>
      <c r="AT19" s="177"/>
    </row>
    <row r="20" spans="1:48" hidden="1" x14ac:dyDescent="0.25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S20" s="177"/>
      <c r="AT20" s="177"/>
    </row>
    <row r="21" spans="1:48" hidden="1" x14ac:dyDescent="0.25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</row>
    <row r="22" spans="1:48" hidden="1" x14ac:dyDescent="0.25">
      <c r="A22" s="177"/>
      <c r="B22" s="177"/>
      <c r="N22" s="177"/>
      <c r="O22" s="177"/>
      <c r="P22" s="178" t="str">
        <f>+[2]Nómina!C10</f>
        <v>N</v>
      </c>
      <c r="R22" s="177"/>
      <c r="S22" s="177"/>
      <c r="T22" s="177"/>
      <c r="U22" s="177"/>
      <c r="V22" s="177"/>
      <c r="W22" s="177"/>
      <c r="X22" s="179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</row>
    <row r="23" spans="1:48" ht="78.75" x14ac:dyDescent="0.25">
      <c r="A23" s="177"/>
      <c r="B23" s="177"/>
      <c r="C23" s="84" t="s">
        <v>124</v>
      </c>
      <c r="D23" s="35" t="s">
        <v>71</v>
      </c>
      <c r="E23" s="35" t="s">
        <v>72</v>
      </c>
      <c r="F23" s="35" t="s">
        <v>73</v>
      </c>
      <c r="G23" s="35" t="s">
        <v>75</v>
      </c>
      <c r="H23" s="35" t="s">
        <v>76</v>
      </c>
      <c r="I23" s="35" t="s">
        <v>77</v>
      </c>
      <c r="J23" s="35" t="s">
        <v>74</v>
      </c>
      <c r="K23" s="35" t="s">
        <v>78</v>
      </c>
      <c r="L23" s="35" t="s">
        <v>79</v>
      </c>
      <c r="M23" s="124" t="s">
        <v>170</v>
      </c>
      <c r="N23" s="177"/>
      <c r="O23" s="177"/>
      <c r="P23" s="35" t="str">
        <f>+Nómina!C5</f>
        <v>590-Profesores Enseñanza Secundaria</v>
      </c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</row>
    <row r="24" spans="1:48" x14ac:dyDescent="0.25">
      <c r="A24" s="177"/>
      <c r="B24" s="177"/>
      <c r="C24" s="125" t="s">
        <v>1</v>
      </c>
      <c r="D24" s="86" t="s">
        <v>53</v>
      </c>
      <c r="E24" s="86" t="s">
        <v>53</v>
      </c>
      <c r="F24" s="86" t="s">
        <v>53</v>
      </c>
      <c r="G24" s="86" t="s">
        <v>53</v>
      </c>
      <c r="H24" s="86" t="s">
        <v>53</v>
      </c>
      <c r="I24" s="86" t="s">
        <v>53</v>
      </c>
      <c r="J24" s="86" t="s">
        <v>80</v>
      </c>
      <c r="K24" s="86" t="s">
        <v>80</v>
      </c>
      <c r="L24" s="86" t="s">
        <v>80</v>
      </c>
      <c r="M24" s="86" t="s">
        <v>80</v>
      </c>
      <c r="N24" s="177"/>
      <c r="O24" s="177"/>
      <c r="P24" s="84" t="str">
        <f>IF(P$23=D$23,D24,IF(P$23=E$23,E24,IF(P$23=F$23,F24,IF(P$23=G$23,G24,IF(P$23=H$23,H24,IF(P$23=I$23,I24,IF(P$23=J$23,J24,IF(P$23=K$23,K24,IF(P$23=L$23,L24,IF(P$23=M$23,M24,666))))))))))</f>
        <v>A1</v>
      </c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35" t="s">
        <v>193</v>
      </c>
    </row>
    <row r="25" spans="1:48" x14ac:dyDescent="0.25">
      <c r="A25" s="177"/>
      <c r="B25" s="177"/>
      <c r="C25" s="125" t="s">
        <v>0</v>
      </c>
      <c r="D25" s="86">
        <v>26</v>
      </c>
      <c r="E25" s="86">
        <v>26</v>
      </c>
      <c r="F25" s="86">
        <v>24</v>
      </c>
      <c r="G25" s="86">
        <v>24</v>
      </c>
      <c r="H25" s="86">
        <v>24</v>
      </c>
      <c r="I25" s="86">
        <v>24</v>
      </c>
      <c r="J25" s="86">
        <v>24</v>
      </c>
      <c r="K25" s="86">
        <v>24</v>
      </c>
      <c r="L25" s="86">
        <v>21</v>
      </c>
      <c r="M25" s="86">
        <v>21</v>
      </c>
      <c r="N25" s="177"/>
      <c r="O25" s="177"/>
      <c r="P25" s="84">
        <f>IF(P$23=D$23,D25,IF(P$23=E$23,E25,IF(P$23=F$23,F25,IF(P$23=G$23,G25,IF(P$23=H$23,H25,IF(P$23=I$23,I25,IF(P$23=J$23,J25,IF(P$23=K$23,K25,IF(P$23=L$23,L25,IF(P$23=M$23,M25,666))))))))))</f>
        <v>24</v>
      </c>
      <c r="Q25" s="177"/>
      <c r="R25" s="177"/>
      <c r="S25" s="177"/>
      <c r="V25" s="179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80" t="s">
        <v>209</v>
      </c>
      <c r="AV25" s="181">
        <v>552.33000000000004</v>
      </c>
    </row>
    <row r="26" spans="1:48" x14ac:dyDescent="0.25">
      <c r="A26" s="177"/>
      <c r="B26" s="177"/>
      <c r="C26" s="114" t="s">
        <v>2</v>
      </c>
      <c r="D26" s="182">
        <v>1179.96</v>
      </c>
      <c r="E26" s="88">
        <f t="shared" ref="E26:I29" si="21">+D26</f>
        <v>1179.96</v>
      </c>
      <c r="F26" s="88">
        <f t="shared" si="21"/>
        <v>1179.96</v>
      </c>
      <c r="G26" s="88">
        <f t="shared" si="21"/>
        <v>1179.96</v>
      </c>
      <c r="H26" s="88">
        <f t="shared" si="21"/>
        <v>1179.96</v>
      </c>
      <c r="I26" s="88">
        <f t="shared" si="21"/>
        <v>1179.96</v>
      </c>
      <c r="J26" s="182">
        <v>1020.28</v>
      </c>
      <c r="K26" s="88">
        <f>+J26</f>
        <v>1020.28</v>
      </c>
      <c r="L26" s="88">
        <f>+K26</f>
        <v>1020.28</v>
      </c>
      <c r="M26" s="88">
        <f>+L26</f>
        <v>1020.28</v>
      </c>
      <c r="N26" s="177"/>
      <c r="O26" s="177"/>
      <c r="P26" s="84">
        <f t="shared" ref="P26:P48" si="22">IF(P$23=D$23,D26,IF(P$23=E$23,E26,IF(P$23=F$23,F26,IF(P$23=G$23,G26,IF(P$23=H$23,H26,IF(P$23=I$23,I26,IF(P$23=J$23,J26,IF(P$23=K$23,K26,IF(P$23=L$23,L26,IF(P$23=M$23,M26,666))))))))))</f>
        <v>1179.96</v>
      </c>
      <c r="Q26" s="177"/>
      <c r="R26" s="177"/>
      <c r="S26" s="177"/>
      <c r="T26" s="179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80" t="s">
        <v>210</v>
      </c>
      <c r="AV26" s="181">
        <v>503.95</v>
      </c>
    </row>
    <row r="27" spans="1:48" x14ac:dyDescent="0.25">
      <c r="A27" s="177"/>
      <c r="B27" s="177"/>
      <c r="C27" s="114" t="s">
        <v>129</v>
      </c>
      <c r="D27" s="182">
        <v>728.13</v>
      </c>
      <c r="E27" s="88">
        <f t="shared" si="21"/>
        <v>728.13</v>
      </c>
      <c r="F27" s="88">
        <f t="shared" si="21"/>
        <v>728.13</v>
      </c>
      <c r="G27" s="88">
        <f t="shared" si="21"/>
        <v>728.13</v>
      </c>
      <c r="H27" s="88">
        <f t="shared" si="21"/>
        <v>728.13</v>
      </c>
      <c r="I27" s="88">
        <f t="shared" si="21"/>
        <v>728.13</v>
      </c>
      <c r="J27" s="182">
        <v>744.11</v>
      </c>
      <c r="K27" s="88">
        <f>+J27</f>
        <v>744.11</v>
      </c>
      <c r="L27" s="88">
        <f t="shared" ref="L27:M30" si="23">+K27</f>
        <v>744.11</v>
      </c>
      <c r="M27" s="88">
        <f t="shared" si="23"/>
        <v>744.11</v>
      </c>
      <c r="N27" s="177"/>
      <c r="O27" s="177"/>
      <c r="P27" s="84">
        <f t="shared" si="22"/>
        <v>728.13</v>
      </c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U27" s="180" t="s">
        <v>211</v>
      </c>
      <c r="AV27" s="181">
        <v>380.02</v>
      </c>
    </row>
    <row r="28" spans="1:48" x14ac:dyDescent="0.25">
      <c r="A28" s="177"/>
      <c r="B28" s="177"/>
      <c r="C28" s="115" t="s">
        <v>3</v>
      </c>
      <c r="D28" s="182">
        <f>317.87/7</f>
        <v>45.410000000000004</v>
      </c>
      <c r="E28" s="88">
        <f t="shared" si="21"/>
        <v>45.410000000000004</v>
      </c>
      <c r="F28" s="88">
        <f t="shared" si="21"/>
        <v>45.410000000000004</v>
      </c>
      <c r="G28" s="88">
        <f t="shared" si="21"/>
        <v>45.410000000000004</v>
      </c>
      <c r="H28" s="88">
        <f t="shared" si="21"/>
        <v>45.410000000000004</v>
      </c>
      <c r="I28" s="88">
        <f t="shared" si="21"/>
        <v>45.410000000000004</v>
      </c>
      <c r="J28" s="182">
        <v>37.03</v>
      </c>
      <c r="K28" s="88">
        <f>+J28</f>
        <v>37.03</v>
      </c>
      <c r="L28" s="88">
        <f t="shared" si="23"/>
        <v>37.03</v>
      </c>
      <c r="M28" s="88">
        <f t="shared" si="23"/>
        <v>37.03</v>
      </c>
      <c r="N28" s="177"/>
      <c r="O28" s="177"/>
      <c r="P28" s="84">
        <f t="shared" si="22"/>
        <v>45.410000000000004</v>
      </c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U28" s="132" t="s">
        <v>212</v>
      </c>
      <c r="AV28" s="181">
        <v>289.17</v>
      </c>
    </row>
    <row r="29" spans="1:48" x14ac:dyDescent="0.25">
      <c r="A29" s="177"/>
      <c r="B29" s="177"/>
      <c r="C29" s="115" t="s">
        <v>142</v>
      </c>
      <c r="D29" s="182">
        <v>28.02</v>
      </c>
      <c r="E29" s="88">
        <f t="shared" si="21"/>
        <v>28.02</v>
      </c>
      <c r="F29" s="88">
        <f t="shared" si="21"/>
        <v>28.02</v>
      </c>
      <c r="G29" s="88">
        <f t="shared" si="21"/>
        <v>28.02</v>
      </c>
      <c r="H29" s="88">
        <f t="shared" si="21"/>
        <v>28.02</v>
      </c>
      <c r="I29" s="88">
        <f t="shared" si="21"/>
        <v>28.02</v>
      </c>
      <c r="J29" s="182">
        <v>26.997325</v>
      </c>
      <c r="K29" s="88">
        <f>+J29</f>
        <v>26.997325</v>
      </c>
      <c r="L29" s="88">
        <f t="shared" si="23"/>
        <v>26.997325</v>
      </c>
      <c r="M29" s="88">
        <f t="shared" si="23"/>
        <v>26.997325</v>
      </c>
      <c r="N29" s="177"/>
      <c r="O29" s="177"/>
      <c r="P29" s="84">
        <f t="shared" si="22"/>
        <v>28.02</v>
      </c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U29" s="132" t="s">
        <v>213</v>
      </c>
      <c r="AV29" s="181">
        <v>195.95</v>
      </c>
    </row>
    <row r="30" spans="1:48" x14ac:dyDescent="0.25">
      <c r="B30" s="177"/>
      <c r="C30" s="116" t="s">
        <v>143</v>
      </c>
      <c r="D30" s="182">
        <v>753.09</v>
      </c>
      <c r="E30" s="88">
        <f>+D30</f>
        <v>753.09</v>
      </c>
      <c r="F30" s="182">
        <v>628.76</v>
      </c>
      <c r="G30" s="88">
        <f>+F30</f>
        <v>628.76</v>
      </c>
      <c r="H30" s="88">
        <f>+G30</f>
        <v>628.76</v>
      </c>
      <c r="I30" s="88">
        <f>+H30</f>
        <v>628.76</v>
      </c>
      <c r="J30" s="88">
        <f>+I30</f>
        <v>628.76</v>
      </c>
      <c r="K30" s="88">
        <f>+J30</f>
        <v>628.76</v>
      </c>
      <c r="L30" s="182">
        <v>510.57</v>
      </c>
      <c r="M30" s="88">
        <f t="shared" si="23"/>
        <v>510.57</v>
      </c>
      <c r="N30" s="177"/>
      <c r="O30" s="177"/>
      <c r="P30" s="84">
        <f t="shared" si="22"/>
        <v>628.76</v>
      </c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U30" s="132" t="s">
        <v>214</v>
      </c>
      <c r="AV30" s="181">
        <v>122.79</v>
      </c>
    </row>
    <row r="31" spans="1:48" x14ac:dyDescent="0.25">
      <c r="C31" s="116" t="s">
        <v>144</v>
      </c>
      <c r="D31" s="88">
        <f t="shared" ref="D31:M31" si="24">+D30</f>
        <v>753.09</v>
      </c>
      <c r="E31" s="88">
        <f t="shared" si="24"/>
        <v>753.09</v>
      </c>
      <c r="F31" s="88">
        <f t="shared" si="24"/>
        <v>628.76</v>
      </c>
      <c r="G31" s="88">
        <f t="shared" si="24"/>
        <v>628.76</v>
      </c>
      <c r="H31" s="88">
        <f t="shared" si="24"/>
        <v>628.76</v>
      </c>
      <c r="I31" s="88">
        <f t="shared" si="24"/>
        <v>628.76</v>
      </c>
      <c r="J31" s="88">
        <f t="shared" si="24"/>
        <v>628.76</v>
      </c>
      <c r="K31" s="88">
        <f t="shared" si="24"/>
        <v>628.76</v>
      </c>
      <c r="L31" s="88">
        <f t="shared" si="24"/>
        <v>510.57</v>
      </c>
      <c r="M31" s="88">
        <f t="shared" si="24"/>
        <v>510.57</v>
      </c>
      <c r="N31" s="177"/>
      <c r="O31" s="177"/>
      <c r="P31" s="84">
        <f t="shared" si="22"/>
        <v>628.76</v>
      </c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U31" s="180" t="s">
        <v>83</v>
      </c>
      <c r="AV31" s="181">
        <v>226.63</v>
      </c>
    </row>
    <row r="32" spans="1:48" x14ac:dyDescent="0.25">
      <c r="C32" s="117" t="s">
        <v>145</v>
      </c>
      <c r="D32" s="182">
        <v>1472.07</v>
      </c>
      <c r="E32" s="182">
        <v>705.18</v>
      </c>
      <c r="F32" s="182">
        <v>653.79999999999995</v>
      </c>
      <c r="G32" s="88">
        <f>+F32</f>
        <v>653.79999999999995</v>
      </c>
      <c r="H32" s="88">
        <f>+G32</f>
        <v>653.79999999999995</v>
      </c>
      <c r="I32" s="88">
        <f>+H32</f>
        <v>653.79999999999995</v>
      </c>
      <c r="J32" s="182">
        <v>655.81545779999999</v>
      </c>
      <c r="K32" s="88">
        <f>+J32</f>
        <v>655.81545779999999</v>
      </c>
      <c r="L32" s="182">
        <v>696.11</v>
      </c>
      <c r="M32" s="182">
        <v>773.98</v>
      </c>
      <c r="N32" s="177"/>
      <c r="O32" s="177"/>
      <c r="P32" s="84">
        <f t="shared" si="22"/>
        <v>653.79999999999995</v>
      </c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U32" s="180" t="s">
        <v>84</v>
      </c>
      <c r="AV32" s="181">
        <v>217.2</v>
      </c>
    </row>
    <row r="33" spans="3:48" x14ac:dyDescent="0.25">
      <c r="C33" s="118" t="s">
        <v>146</v>
      </c>
      <c r="D33" s="89">
        <f>ROUNDUP(+D32*78%,2)</f>
        <v>1148.22</v>
      </c>
      <c r="E33" s="89">
        <f t="shared" ref="E33:F33" si="25">ROUNDUP(+E32*78%,2)</f>
        <v>550.04999999999995</v>
      </c>
      <c r="F33" s="89">
        <f t="shared" si="25"/>
        <v>509.96999999999997</v>
      </c>
      <c r="G33" s="89">
        <f>ROUNDUP(+G32*78%,2)</f>
        <v>509.96999999999997</v>
      </c>
      <c r="H33" s="89">
        <f t="shared" ref="H33" si="26">ROUNDUP(+H32*78%,2)</f>
        <v>509.96999999999997</v>
      </c>
      <c r="I33" s="89">
        <f>ROUNDUP(+I32*78%,2)</f>
        <v>509.96999999999997</v>
      </c>
      <c r="J33" s="89">
        <f t="shared" ref="J33" si="27">ROUNDUP(+J32*78%,2)</f>
        <v>511.53999999999996</v>
      </c>
      <c r="K33" s="89">
        <f>ROUNDUP(+K32*78%,2)</f>
        <v>511.53999999999996</v>
      </c>
      <c r="L33" s="89">
        <f t="shared" ref="L33" si="28">ROUNDUP(+L32*78%,2)</f>
        <v>542.97</v>
      </c>
      <c r="M33" s="89">
        <f>ROUNDUP(+M32*78%,2)</f>
        <v>603.71</v>
      </c>
      <c r="N33" s="177"/>
      <c r="O33" s="177"/>
      <c r="P33" s="84">
        <f t="shared" si="22"/>
        <v>509.96999999999997</v>
      </c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U33" s="132" t="s">
        <v>85</v>
      </c>
      <c r="AV33" s="181">
        <v>203.02</v>
      </c>
    </row>
    <row r="34" spans="3:48" x14ac:dyDescent="0.25">
      <c r="C34" s="119" t="s">
        <v>137</v>
      </c>
      <c r="D34" s="111">
        <v>55</v>
      </c>
      <c r="E34" s="97">
        <f t="shared" ref="E34:M48" si="29">+D34</f>
        <v>55</v>
      </c>
      <c r="F34" s="97">
        <f t="shared" si="29"/>
        <v>55</v>
      </c>
      <c r="G34" s="97">
        <f t="shared" si="29"/>
        <v>55</v>
      </c>
      <c r="H34" s="97">
        <f t="shared" si="29"/>
        <v>55</v>
      </c>
      <c r="I34" s="97">
        <f t="shared" si="29"/>
        <v>55</v>
      </c>
      <c r="J34" s="97">
        <f t="shared" si="29"/>
        <v>55</v>
      </c>
      <c r="K34" s="97">
        <f t="shared" si="29"/>
        <v>55</v>
      </c>
      <c r="L34" s="88">
        <f t="shared" si="29"/>
        <v>55</v>
      </c>
      <c r="M34" s="88">
        <f t="shared" si="29"/>
        <v>55</v>
      </c>
      <c r="N34" s="177"/>
      <c r="O34" s="177"/>
      <c r="P34" s="84">
        <f t="shared" si="22"/>
        <v>55</v>
      </c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U34" s="180" t="s">
        <v>86</v>
      </c>
      <c r="AV34" s="181">
        <v>158.16999999999999</v>
      </c>
    </row>
    <row r="35" spans="3:48" x14ac:dyDescent="0.25">
      <c r="C35" s="119" t="s">
        <v>147</v>
      </c>
      <c r="D35" s="111">
        <f>ROUNDUP(+D34*78%,2)</f>
        <v>42.9</v>
      </c>
      <c r="E35" s="97">
        <f t="shared" si="29"/>
        <v>42.9</v>
      </c>
      <c r="F35" s="97">
        <f t="shared" si="29"/>
        <v>42.9</v>
      </c>
      <c r="G35" s="97">
        <f t="shared" si="29"/>
        <v>42.9</v>
      </c>
      <c r="H35" s="97">
        <f t="shared" si="29"/>
        <v>42.9</v>
      </c>
      <c r="I35" s="97">
        <f t="shared" si="29"/>
        <v>42.9</v>
      </c>
      <c r="J35" s="97">
        <f t="shared" si="29"/>
        <v>42.9</v>
      </c>
      <c r="K35" s="97">
        <f t="shared" si="29"/>
        <v>42.9</v>
      </c>
      <c r="L35" s="88">
        <f t="shared" si="29"/>
        <v>42.9</v>
      </c>
      <c r="M35" s="88">
        <f t="shared" si="29"/>
        <v>42.9</v>
      </c>
      <c r="N35" s="177"/>
      <c r="O35" s="177"/>
      <c r="P35" s="84">
        <f t="shared" si="22"/>
        <v>42.9</v>
      </c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U35" s="132" t="s">
        <v>87</v>
      </c>
      <c r="AV35" s="181">
        <v>226.63</v>
      </c>
    </row>
    <row r="36" spans="3:48" x14ac:dyDescent="0.25">
      <c r="C36" s="119" t="s">
        <v>138</v>
      </c>
      <c r="D36" s="111">
        <v>87</v>
      </c>
      <c r="E36" s="97">
        <f t="shared" si="29"/>
        <v>87</v>
      </c>
      <c r="F36" s="97">
        <f t="shared" si="29"/>
        <v>87</v>
      </c>
      <c r="G36" s="97">
        <f t="shared" si="29"/>
        <v>87</v>
      </c>
      <c r="H36" s="97">
        <f t="shared" si="29"/>
        <v>87</v>
      </c>
      <c r="I36" s="97">
        <f t="shared" si="29"/>
        <v>87</v>
      </c>
      <c r="J36" s="97">
        <f t="shared" si="29"/>
        <v>87</v>
      </c>
      <c r="K36" s="97">
        <f t="shared" si="29"/>
        <v>87</v>
      </c>
      <c r="L36" s="88">
        <f t="shared" si="29"/>
        <v>87</v>
      </c>
      <c r="M36" s="88">
        <f t="shared" si="29"/>
        <v>87</v>
      </c>
      <c r="N36" s="177"/>
      <c r="O36" s="177"/>
      <c r="P36" s="84">
        <f t="shared" si="22"/>
        <v>87</v>
      </c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U36" s="180" t="s">
        <v>88</v>
      </c>
      <c r="AV36" s="181">
        <v>217.2</v>
      </c>
    </row>
    <row r="37" spans="3:48" x14ac:dyDescent="0.25">
      <c r="C37" s="119" t="s">
        <v>148</v>
      </c>
      <c r="D37" s="111">
        <f>+D36*78%</f>
        <v>67.86</v>
      </c>
      <c r="E37" s="97">
        <f t="shared" si="29"/>
        <v>67.86</v>
      </c>
      <c r="F37" s="97">
        <f t="shared" si="29"/>
        <v>67.86</v>
      </c>
      <c r="G37" s="97">
        <f t="shared" si="29"/>
        <v>67.86</v>
      </c>
      <c r="H37" s="97">
        <f t="shared" si="29"/>
        <v>67.86</v>
      </c>
      <c r="I37" s="97">
        <f t="shared" si="29"/>
        <v>67.86</v>
      </c>
      <c r="J37" s="97">
        <f t="shared" si="29"/>
        <v>67.86</v>
      </c>
      <c r="K37" s="97">
        <f t="shared" si="29"/>
        <v>67.86</v>
      </c>
      <c r="L37" s="88">
        <f t="shared" si="29"/>
        <v>67.86</v>
      </c>
      <c r="M37" s="88">
        <f t="shared" si="29"/>
        <v>67.86</v>
      </c>
      <c r="N37" s="177"/>
      <c r="O37" s="177"/>
      <c r="P37" s="84">
        <f t="shared" si="22"/>
        <v>67.86</v>
      </c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7"/>
      <c r="AK37" s="177"/>
      <c r="AL37" s="177"/>
      <c r="AM37" s="177"/>
      <c r="AN37" s="177"/>
      <c r="AO37" s="177"/>
      <c r="AP37" s="177"/>
      <c r="AQ37" s="177"/>
      <c r="AR37" s="177"/>
      <c r="AS37" s="177"/>
      <c r="AU37" s="180" t="s">
        <v>89</v>
      </c>
      <c r="AV37" s="181">
        <v>203.02</v>
      </c>
    </row>
    <row r="38" spans="3:48" x14ac:dyDescent="0.25">
      <c r="C38" s="119" t="s">
        <v>139</v>
      </c>
      <c r="D38" s="111">
        <v>99</v>
      </c>
      <c r="E38" s="97">
        <f t="shared" si="29"/>
        <v>99</v>
      </c>
      <c r="F38" s="97">
        <f t="shared" si="29"/>
        <v>99</v>
      </c>
      <c r="G38" s="97">
        <f t="shared" si="29"/>
        <v>99</v>
      </c>
      <c r="H38" s="97">
        <f t="shared" si="29"/>
        <v>99</v>
      </c>
      <c r="I38" s="97">
        <f t="shared" si="29"/>
        <v>99</v>
      </c>
      <c r="J38" s="97">
        <f t="shared" si="29"/>
        <v>99</v>
      </c>
      <c r="K38" s="97">
        <f t="shared" si="29"/>
        <v>99</v>
      </c>
      <c r="L38" s="88">
        <f t="shared" si="29"/>
        <v>99</v>
      </c>
      <c r="M38" s="88">
        <f t="shared" si="29"/>
        <v>99</v>
      </c>
      <c r="N38" s="177"/>
      <c r="O38" s="177"/>
      <c r="P38" s="84">
        <f t="shared" si="22"/>
        <v>99</v>
      </c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U38" s="180" t="s">
        <v>90</v>
      </c>
      <c r="AV38" s="181">
        <v>158.16999999999999</v>
      </c>
    </row>
    <row r="39" spans="3:48" x14ac:dyDescent="0.25">
      <c r="C39" s="119" t="s">
        <v>149</v>
      </c>
      <c r="D39" s="111">
        <f>+D38*78%</f>
        <v>77.22</v>
      </c>
      <c r="E39" s="97">
        <f t="shared" si="29"/>
        <v>77.22</v>
      </c>
      <c r="F39" s="97">
        <f t="shared" si="29"/>
        <v>77.22</v>
      </c>
      <c r="G39" s="97">
        <f t="shared" si="29"/>
        <v>77.22</v>
      </c>
      <c r="H39" s="97">
        <f t="shared" si="29"/>
        <v>77.22</v>
      </c>
      <c r="I39" s="97">
        <f t="shared" si="29"/>
        <v>77.22</v>
      </c>
      <c r="J39" s="97">
        <f t="shared" si="29"/>
        <v>77.22</v>
      </c>
      <c r="K39" s="97">
        <f t="shared" si="29"/>
        <v>77.22</v>
      </c>
      <c r="L39" s="88">
        <f t="shared" si="29"/>
        <v>77.22</v>
      </c>
      <c r="M39" s="88">
        <f t="shared" si="29"/>
        <v>77.22</v>
      </c>
      <c r="N39" s="177"/>
      <c r="O39" s="177"/>
      <c r="P39" s="84">
        <f t="shared" si="22"/>
        <v>77.22</v>
      </c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  <c r="AU39" s="180" t="s">
        <v>91</v>
      </c>
      <c r="AV39" s="181">
        <v>106.25</v>
      </c>
    </row>
    <row r="40" spans="3:48" x14ac:dyDescent="0.25">
      <c r="C40" s="119" t="s">
        <v>140</v>
      </c>
      <c r="D40" s="111">
        <v>118.8</v>
      </c>
      <c r="E40" s="97">
        <f t="shared" si="29"/>
        <v>118.8</v>
      </c>
      <c r="F40" s="97">
        <f t="shared" si="29"/>
        <v>118.8</v>
      </c>
      <c r="G40" s="97">
        <f t="shared" si="29"/>
        <v>118.8</v>
      </c>
      <c r="H40" s="97">
        <f t="shared" si="29"/>
        <v>118.8</v>
      </c>
      <c r="I40" s="97">
        <f t="shared" si="29"/>
        <v>118.8</v>
      </c>
      <c r="J40" s="97">
        <f t="shared" si="29"/>
        <v>118.8</v>
      </c>
      <c r="K40" s="97">
        <f t="shared" si="29"/>
        <v>118.8</v>
      </c>
      <c r="L40" s="88">
        <f t="shared" si="29"/>
        <v>118.8</v>
      </c>
      <c r="M40" s="88">
        <f t="shared" si="29"/>
        <v>118.8</v>
      </c>
      <c r="N40" s="177"/>
      <c r="O40" s="177"/>
      <c r="P40" s="84">
        <f t="shared" si="22"/>
        <v>118.8</v>
      </c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U40" s="180" t="s">
        <v>40</v>
      </c>
      <c r="AV40" s="181">
        <v>226.63</v>
      </c>
    </row>
    <row r="41" spans="3:48" x14ac:dyDescent="0.25">
      <c r="C41" s="119" t="s">
        <v>150</v>
      </c>
      <c r="D41" s="111">
        <f>+D40*78%</f>
        <v>92.664000000000001</v>
      </c>
      <c r="E41" s="97">
        <f t="shared" si="29"/>
        <v>92.664000000000001</v>
      </c>
      <c r="F41" s="97">
        <f t="shared" si="29"/>
        <v>92.664000000000001</v>
      </c>
      <c r="G41" s="97">
        <f t="shared" si="29"/>
        <v>92.664000000000001</v>
      </c>
      <c r="H41" s="97">
        <f t="shared" si="29"/>
        <v>92.664000000000001</v>
      </c>
      <c r="I41" s="97">
        <f t="shared" si="29"/>
        <v>92.664000000000001</v>
      </c>
      <c r="J41" s="97">
        <f t="shared" si="29"/>
        <v>92.664000000000001</v>
      </c>
      <c r="K41" s="97">
        <f t="shared" si="29"/>
        <v>92.664000000000001</v>
      </c>
      <c r="L41" s="88">
        <f t="shared" si="29"/>
        <v>92.664000000000001</v>
      </c>
      <c r="M41" s="88">
        <f t="shared" si="29"/>
        <v>92.664000000000001</v>
      </c>
      <c r="N41" s="177"/>
      <c r="O41" s="177"/>
      <c r="P41" s="84">
        <f t="shared" si="22"/>
        <v>92.664000000000001</v>
      </c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U41" s="180" t="s">
        <v>41</v>
      </c>
      <c r="AV41" s="181">
        <v>217.2</v>
      </c>
    </row>
    <row r="42" spans="3:48" x14ac:dyDescent="0.25">
      <c r="C42" s="119" t="s">
        <v>151</v>
      </c>
      <c r="D42" s="111">
        <v>188.8</v>
      </c>
      <c r="E42" s="97">
        <f t="shared" si="29"/>
        <v>188.8</v>
      </c>
      <c r="F42" s="97">
        <f t="shared" si="29"/>
        <v>188.8</v>
      </c>
      <c r="G42" s="97">
        <f t="shared" si="29"/>
        <v>188.8</v>
      </c>
      <c r="H42" s="97">
        <f t="shared" si="29"/>
        <v>188.8</v>
      </c>
      <c r="I42" s="97">
        <f t="shared" si="29"/>
        <v>188.8</v>
      </c>
      <c r="J42" s="97">
        <f t="shared" si="29"/>
        <v>188.8</v>
      </c>
      <c r="K42" s="97">
        <f t="shared" si="29"/>
        <v>188.8</v>
      </c>
      <c r="L42" s="88">
        <f t="shared" si="29"/>
        <v>188.8</v>
      </c>
      <c r="M42" s="88">
        <f t="shared" si="29"/>
        <v>188.8</v>
      </c>
      <c r="N42" s="177"/>
      <c r="O42" s="177"/>
      <c r="P42" s="84">
        <f t="shared" si="22"/>
        <v>188.8</v>
      </c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7"/>
      <c r="AO42" s="177"/>
      <c r="AP42" s="177"/>
      <c r="AQ42" s="177"/>
      <c r="AR42" s="177"/>
      <c r="AS42" s="177"/>
      <c r="AU42" s="132" t="s">
        <v>42</v>
      </c>
      <c r="AV42" s="181">
        <v>203.02</v>
      </c>
    </row>
    <row r="43" spans="3:48" x14ac:dyDescent="0.25">
      <c r="C43" s="119" t="s">
        <v>152</v>
      </c>
      <c r="D43" s="111">
        <f>+D42*78%</f>
        <v>147.26400000000001</v>
      </c>
      <c r="E43" s="97">
        <f t="shared" si="29"/>
        <v>147.26400000000001</v>
      </c>
      <c r="F43" s="97">
        <f t="shared" si="29"/>
        <v>147.26400000000001</v>
      </c>
      <c r="G43" s="97">
        <f t="shared" si="29"/>
        <v>147.26400000000001</v>
      </c>
      <c r="H43" s="97">
        <f t="shared" si="29"/>
        <v>147.26400000000001</v>
      </c>
      <c r="I43" s="97">
        <f t="shared" si="29"/>
        <v>147.26400000000001</v>
      </c>
      <c r="J43" s="97">
        <f t="shared" si="29"/>
        <v>147.26400000000001</v>
      </c>
      <c r="K43" s="97">
        <f t="shared" si="29"/>
        <v>147.26400000000001</v>
      </c>
      <c r="L43" s="88">
        <f t="shared" si="29"/>
        <v>147.26400000000001</v>
      </c>
      <c r="M43" s="88">
        <f t="shared" si="29"/>
        <v>147.26400000000001</v>
      </c>
      <c r="N43" s="177"/>
      <c r="O43" s="177"/>
      <c r="P43" s="84">
        <f t="shared" si="22"/>
        <v>147.26400000000001</v>
      </c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U43" s="135" t="s">
        <v>192</v>
      </c>
    </row>
    <row r="44" spans="3:48" x14ac:dyDescent="0.25">
      <c r="C44" s="126" t="s">
        <v>4</v>
      </c>
      <c r="D44" s="182">
        <v>173.22</v>
      </c>
      <c r="E44" s="182">
        <v>155.94999999999999</v>
      </c>
      <c r="F44" s="182">
        <v>138.61000000000001</v>
      </c>
      <c r="G44" s="97">
        <f t="shared" si="29"/>
        <v>138.61000000000001</v>
      </c>
      <c r="H44" s="97">
        <f t="shared" si="29"/>
        <v>138.61000000000001</v>
      </c>
      <c r="I44" s="97">
        <f t="shared" si="29"/>
        <v>138.61000000000001</v>
      </c>
      <c r="J44" s="182">
        <v>124.77114999999999</v>
      </c>
      <c r="K44" s="97">
        <f>+J44</f>
        <v>124.77114999999999</v>
      </c>
      <c r="L44" s="88">
        <f t="shared" si="29"/>
        <v>124.77114999999999</v>
      </c>
      <c r="M44" s="88">
        <f t="shared" si="29"/>
        <v>124.77114999999999</v>
      </c>
      <c r="N44" s="177"/>
      <c r="O44" s="177"/>
      <c r="P44" s="84">
        <f t="shared" si="22"/>
        <v>138.61000000000001</v>
      </c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77"/>
      <c r="AN44" s="177"/>
      <c r="AO44" s="177"/>
      <c r="AP44" s="177"/>
      <c r="AQ44" s="177"/>
      <c r="AR44" s="177"/>
      <c r="AS44" s="177"/>
      <c r="AU44" s="183" t="s">
        <v>20</v>
      </c>
      <c r="AV44" s="181">
        <v>694.21</v>
      </c>
    </row>
    <row r="45" spans="3:48" x14ac:dyDescent="0.25">
      <c r="C45" s="120" t="s">
        <v>5</v>
      </c>
      <c r="D45" s="182">
        <v>577.21</v>
      </c>
      <c r="E45" s="182">
        <v>519.49</v>
      </c>
      <c r="F45" s="182">
        <v>461.76</v>
      </c>
      <c r="G45" s="97">
        <f t="shared" si="29"/>
        <v>461.76</v>
      </c>
      <c r="H45" s="97">
        <f t="shared" si="29"/>
        <v>461.76</v>
      </c>
      <c r="I45" s="97">
        <f t="shared" si="29"/>
        <v>461.76</v>
      </c>
      <c r="J45" s="182">
        <v>415.6</v>
      </c>
      <c r="K45" s="97">
        <f>+J45</f>
        <v>415.6</v>
      </c>
      <c r="L45" s="88">
        <f t="shared" si="29"/>
        <v>415.6</v>
      </c>
      <c r="M45" s="88">
        <f t="shared" si="29"/>
        <v>415.6</v>
      </c>
      <c r="N45" s="177"/>
      <c r="O45" s="177"/>
      <c r="P45" s="84">
        <f t="shared" si="22"/>
        <v>461.76</v>
      </c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U45" s="183" t="s">
        <v>21</v>
      </c>
      <c r="AV45" s="181">
        <v>617.52</v>
      </c>
    </row>
    <row r="46" spans="3:48" x14ac:dyDescent="0.25">
      <c r="C46" s="121" t="s">
        <v>6</v>
      </c>
      <c r="D46" s="182">
        <v>40.520000000000003</v>
      </c>
      <c r="E46" s="182">
        <v>36.46</v>
      </c>
      <c r="F46" s="182">
        <v>32.47</v>
      </c>
      <c r="G46" s="97">
        <f t="shared" si="29"/>
        <v>32.47</v>
      </c>
      <c r="H46" s="97">
        <f t="shared" si="29"/>
        <v>32.47</v>
      </c>
      <c r="I46" s="97">
        <f t="shared" si="29"/>
        <v>32.47</v>
      </c>
      <c r="J46" s="182">
        <v>29.19</v>
      </c>
      <c r="K46" s="97">
        <f>+J46</f>
        <v>29.19</v>
      </c>
      <c r="L46" s="88">
        <f t="shared" si="29"/>
        <v>29.19</v>
      </c>
      <c r="M46" s="88">
        <f t="shared" si="29"/>
        <v>29.19</v>
      </c>
      <c r="N46" s="177"/>
      <c r="O46" s="177"/>
      <c r="P46" s="84">
        <f t="shared" si="22"/>
        <v>32.47</v>
      </c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U46" s="183" t="s">
        <v>22</v>
      </c>
      <c r="AV46" s="181">
        <v>556.11</v>
      </c>
    </row>
    <row r="47" spans="3:48" x14ac:dyDescent="0.25">
      <c r="C47" s="122" t="s">
        <v>13</v>
      </c>
      <c r="D47" s="184">
        <v>48.99</v>
      </c>
      <c r="E47" s="97">
        <f>+D47</f>
        <v>48.99</v>
      </c>
      <c r="F47" s="97">
        <f>+E47</f>
        <v>48.99</v>
      </c>
      <c r="G47" s="97">
        <f t="shared" si="29"/>
        <v>48.99</v>
      </c>
      <c r="H47" s="97">
        <f t="shared" si="29"/>
        <v>48.99</v>
      </c>
      <c r="I47" s="97">
        <f t="shared" si="29"/>
        <v>48.99</v>
      </c>
      <c r="J47" s="184">
        <v>38.56</v>
      </c>
      <c r="K47" s="97">
        <f>+J47</f>
        <v>38.56</v>
      </c>
      <c r="L47" s="88">
        <f t="shared" si="29"/>
        <v>38.56</v>
      </c>
      <c r="M47" s="88">
        <f t="shared" si="29"/>
        <v>38.56</v>
      </c>
      <c r="N47" s="177"/>
      <c r="O47" s="177"/>
      <c r="P47" s="84">
        <f t="shared" si="22"/>
        <v>48.99</v>
      </c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U47" s="183" t="s">
        <v>23</v>
      </c>
      <c r="AV47" s="181">
        <v>506.51</v>
      </c>
    </row>
    <row r="48" spans="3:48" x14ac:dyDescent="0.25">
      <c r="C48" s="123" t="s">
        <v>154</v>
      </c>
      <c r="D48" s="185">
        <v>111.9</v>
      </c>
      <c r="E48" s="97">
        <f>+D48</f>
        <v>111.9</v>
      </c>
      <c r="F48" s="97">
        <f>+E48</f>
        <v>111.9</v>
      </c>
      <c r="G48" s="97">
        <f t="shared" si="29"/>
        <v>111.9</v>
      </c>
      <c r="H48" s="97">
        <f t="shared" si="29"/>
        <v>111.9</v>
      </c>
      <c r="I48" s="97">
        <f t="shared" si="29"/>
        <v>111.9</v>
      </c>
      <c r="J48" s="184">
        <v>88.07</v>
      </c>
      <c r="K48" s="97">
        <f>+J48</f>
        <v>88.07</v>
      </c>
      <c r="L48" s="88">
        <f t="shared" si="29"/>
        <v>88.07</v>
      </c>
      <c r="M48" s="88">
        <f t="shared" si="29"/>
        <v>88.07</v>
      </c>
      <c r="N48" s="177"/>
      <c r="O48" s="177"/>
      <c r="P48" s="84">
        <f t="shared" si="22"/>
        <v>111.9</v>
      </c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U48" s="183" t="s">
        <v>24</v>
      </c>
      <c r="AV48" s="181">
        <v>341.26</v>
      </c>
    </row>
    <row r="49" spans="3:48" x14ac:dyDescent="0.25"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U49" s="134" t="s">
        <v>25</v>
      </c>
      <c r="AV49" s="181">
        <v>327.08</v>
      </c>
    </row>
    <row r="50" spans="3:48" x14ac:dyDescent="0.25"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25" t="s">
        <v>44</v>
      </c>
      <c r="P50" s="100">
        <f>INT(+[2]Nómina!C7/3)</f>
        <v>0</v>
      </c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U50" s="134" t="s">
        <v>26</v>
      </c>
      <c r="AV50" s="181">
        <v>253.87</v>
      </c>
    </row>
    <row r="51" spans="3:48" x14ac:dyDescent="0.25"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25" t="s">
        <v>155</v>
      </c>
      <c r="P51" s="125">
        <f>INT(+[2]Nómina!C7/6)</f>
        <v>0</v>
      </c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U51" s="134" t="s">
        <v>27</v>
      </c>
      <c r="AV51" s="181">
        <v>203.12</v>
      </c>
    </row>
    <row r="52" spans="3:48" x14ac:dyDescent="0.25"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25" t="s">
        <v>141</v>
      </c>
      <c r="P52" s="128" t="str">
        <f>+[2]Nómina!C11</f>
        <v>N</v>
      </c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U52" s="134" t="s">
        <v>28</v>
      </c>
      <c r="AV52" s="181">
        <v>341.26</v>
      </c>
    </row>
    <row r="53" spans="3:48" x14ac:dyDescent="0.25"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U53" s="134" t="s">
        <v>29</v>
      </c>
      <c r="AV53" s="181">
        <v>327.08</v>
      </c>
    </row>
    <row r="54" spans="3:48" x14ac:dyDescent="0.25"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 t="s">
        <v>177</v>
      </c>
      <c r="P54" s="177">
        <f>((+P26+P30+P32+(P28*P50)+(IF(P51=1,P34,IF(P51=2,P36,IF(P51=3,P38,IF(P51=4,P40,IF(P51&gt;4,P42,0)))))))*12)+((P27+P31+P33+(P29*P50)+(IF(P51=1,P34*0.78,IF(P51=2,P36*0.78,IF(P51=3,P38*0.78,IF(P51=4,P40*0.78,IF(P51&gt;4,P42*0.78,0)))))))*2)+(IF(P52="S",(P45+(P46*P50))*12,P44*12))</f>
        <v>34947.279999999999</v>
      </c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U54" s="183" t="s">
        <v>30</v>
      </c>
      <c r="AV54" s="181">
        <v>253.87</v>
      </c>
    </row>
    <row r="55" spans="3:48" x14ac:dyDescent="0.25"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U55" s="183" t="s">
        <v>31</v>
      </c>
      <c r="AV55" s="181">
        <v>203.12</v>
      </c>
    </row>
    <row r="56" spans="3:48" x14ac:dyDescent="0.25"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U56" s="183" t="s">
        <v>32</v>
      </c>
      <c r="AV56" s="181">
        <v>341.26</v>
      </c>
    </row>
    <row r="57" spans="3:48" x14ac:dyDescent="0.25"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U57" s="183" t="s">
        <v>33</v>
      </c>
      <c r="AV57" s="181">
        <v>327.08</v>
      </c>
    </row>
    <row r="58" spans="3:48" x14ac:dyDescent="0.25"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U58" s="183" t="s">
        <v>34</v>
      </c>
      <c r="AV58" s="181">
        <v>253.87</v>
      </c>
    </row>
    <row r="59" spans="3:48" x14ac:dyDescent="0.25"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U59" s="183" t="s">
        <v>35</v>
      </c>
      <c r="AV59" s="181">
        <v>203.12</v>
      </c>
    </row>
    <row r="60" spans="3:48" x14ac:dyDescent="0.25"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U60" s="183" t="s">
        <v>36</v>
      </c>
      <c r="AV60" s="181">
        <v>170.65</v>
      </c>
    </row>
    <row r="61" spans="3:48" x14ac:dyDescent="0.25"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AU61" s="134" t="s">
        <v>37</v>
      </c>
      <c r="AV61" s="181">
        <v>163.55000000000001</v>
      </c>
    </row>
    <row r="62" spans="3:48" x14ac:dyDescent="0.25"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AU62" s="134" t="s">
        <v>38</v>
      </c>
      <c r="AV62" s="181">
        <v>126.98</v>
      </c>
    </row>
    <row r="63" spans="3:48" x14ac:dyDescent="0.25">
      <c r="C63" s="177"/>
      <c r="D63" s="177"/>
      <c r="E63" s="177"/>
      <c r="F63" s="177"/>
      <c r="G63" s="177"/>
      <c r="H63" s="177"/>
      <c r="I63" s="177"/>
      <c r="J63" s="177"/>
      <c r="K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AU63" s="134" t="s">
        <v>39</v>
      </c>
      <c r="AV63" s="181">
        <v>101.59</v>
      </c>
    </row>
    <row r="64" spans="3:48" x14ac:dyDescent="0.25">
      <c r="F64" s="177"/>
      <c r="J64" s="177"/>
      <c r="K64" s="177"/>
      <c r="AU64" s="42" t="s">
        <v>191</v>
      </c>
    </row>
    <row r="65" spans="10:48" x14ac:dyDescent="0.25">
      <c r="J65" s="177"/>
      <c r="K65" s="177"/>
      <c r="AU65" s="14" t="s">
        <v>14</v>
      </c>
      <c r="AV65" s="102">
        <v>147.57831304125</v>
      </c>
    </row>
    <row r="66" spans="10:48" x14ac:dyDescent="0.25">
      <c r="J66" s="177"/>
      <c r="K66" s="177"/>
      <c r="AU66" s="14" t="s">
        <v>15</v>
      </c>
      <c r="AV66" s="102">
        <v>155.62861096125002</v>
      </c>
    </row>
    <row r="67" spans="10:48" x14ac:dyDescent="0.25">
      <c r="AU67" s="14" t="s">
        <v>16</v>
      </c>
      <c r="AV67" s="102">
        <v>167.06464615749996</v>
      </c>
    </row>
    <row r="68" spans="10:48" x14ac:dyDescent="0.25">
      <c r="AU68" s="14" t="s">
        <v>17</v>
      </c>
      <c r="AV68" s="102">
        <v>128.84669535500001</v>
      </c>
    </row>
    <row r="69" spans="10:48" x14ac:dyDescent="0.25">
      <c r="AU69" s="186" t="s">
        <v>18</v>
      </c>
      <c r="AV69" s="102">
        <v>136.04793841624999</v>
      </c>
    </row>
    <row r="70" spans="10:48" x14ac:dyDescent="0.25">
      <c r="AU70" s="186" t="s">
        <v>19</v>
      </c>
      <c r="AV70" s="102">
        <v>143.77328941499999</v>
      </c>
    </row>
    <row r="71" spans="10:48" x14ac:dyDescent="0.25">
      <c r="AU71" s="14" t="s">
        <v>7</v>
      </c>
      <c r="AV71" s="181">
        <v>363.84</v>
      </c>
    </row>
    <row r="72" spans="10:48" x14ac:dyDescent="0.25">
      <c r="AU72" s="14" t="s">
        <v>8</v>
      </c>
      <c r="AV72" s="181">
        <v>337.66</v>
      </c>
    </row>
    <row r="73" spans="10:48" x14ac:dyDescent="0.25">
      <c r="AU73" s="186" t="s">
        <v>9</v>
      </c>
      <c r="AV73" s="181">
        <v>175.76</v>
      </c>
    </row>
    <row r="74" spans="10:48" x14ac:dyDescent="0.25">
      <c r="AU74" s="186" t="s">
        <v>12</v>
      </c>
      <c r="AV74" s="181">
        <v>152.47</v>
      </c>
    </row>
    <row r="75" spans="10:48" x14ac:dyDescent="0.25">
      <c r="AU75" s="186" t="s">
        <v>172</v>
      </c>
      <c r="AV75" s="181">
        <v>105.85</v>
      </c>
    </row>
    <row r="76" spans="10:48" x14ac:dyDescent="0.25">
      <c r="AU76" s="186" t="s">
        <v>133</v>
      </c>
      <c r="AV76" s="102">
        <v>411</v>
      </c>
    </row>
    <row r="77" spans="10:48" x14ac:dyDescent="0.25">
      <c r="AU77" s="186" t="s">
        <v>134</v>
      </c>
      <c r="AV77" s="102">
        <v>233.46</v>
      </c>
    </row>
    <row r="78" spans="10:48" x14ac:dyDescent="0.25">
      <c r="AU78" s="186" t="s">
        <v>171</v>
      </c>
      <c r="AV78" s="181">
        <v>20.23</v>
      </c>
    </row>
    <row r="79" spans="10:48" x14ac:dyDescent="0.25">
      <c r="AU79" s="186" t="s">
        <v>10</v>
      </c>
      <c r="AV79" s="181">
        <v>17.2</v>
      </c>
    </row>
    <row r="80" spans="10:48" x14ac:dyDescent="0.25">
      <c r="AU80" s="14" t="s">
        <v>52</v>
      </c>
      <c r="AV80" s="181">
        <f>+M32-L32</f>
        <v>77.87</v>
      </c>
    </row>
    <row r="81" spans="47:48" x14ac:dyDescent="0.25">
      <c r="AU81" s="137" t="s">
        <v>190</v>
      </c>
    </row>
    <row r="82" spans="47:48" x14ac:dyDescent="0.25">
      <c r="AU82" s="14" t="s">
        <v>11</v>
      </c>
      <c r="AV82" s="181">
        <v>70.88</v>
      </c>
    </row>
    <row r="83" spans="47:48" x14ac:dyDescent="0.25">
      <c r="AU83" s="14" t="s">
        <v>173</v>
      </c>
      <c r="AV83" s="102">
        <v>35</v>
      </c>
    </row>
    <row r="84" spans="47:48" x14ac:dyDescent="0.25">
      <c r="AU84" s="14" t="s">
        <v>179</v>
      </c>
      <c r="AV84" s="102">
        <v>35</v>
      </c>
    </row>
    <row r="85" spans="47:48" x14ac:dyDescent="0.25">
      <c r="AU85" s="14" t="s">
        <v>180</v>
      </c>
      <c r="AV85" s="102">
        <v>45</v>
      </c>
    </row>
    <row r="86" spans="47:48" x14ac:dyDescent="0.25">
      <c r="AU86" s="14" t="s">
        <v>182</v>
      </c>
      <c r="AV86" s="102">
        <v>45</v>
      </c>
    </row>
    <row r="87" spans="47:48" x14ac:dyDescent="0.25">
      <c r="AU87" s="14" t="s">
        <v>181</v>
      </c>
      <c r="AV87" s="102">
        <v>55</v>
      </c>
    </row>
    <row r="88" spans="47:48" x14ac:dyDescent="0.25">
      <c r="AU88" s="14" t="s">
        <v>174</v>
      </c>
      <c r="AV88" s="144">
        <v>30</v>
      </c>
    </row>
    <row r="89" spans="47:48" x14ac:dyDescent="0.25">
      <c r="AU89" s="14" t="s">
        <v>178</v>
      </c>
      <c r="AV89" s="144">
        <v>30</v>
      </c>
    </row>
    <row r="90" spans="47:48" x14ac:dyDescent="0.25">
      <c r="AU90" s="14" t="s">
        <v>175</v>
      </c>
      <c r="AV90" s="144">
        <v>30</v>
      </c>
    </row>
  </sheetData>
  <mergeCells count="1">
    <mergeCell ref="V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Nómina</vt:lpstr>
      <vt:lpstr>Hoja1</vt:lpstr>
      <vt:lpstr>IRPF año completo</vt:lpstr>
      <vt:lpstr>IRPF meses nombrado</vt:lpstr>
      <vt:lpstr>Retribuciones</vt:lpstr>
      <vt:lpstr>Retribuciones19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JAngel</dc:creator>
  <cp:lastModifiedBy>Usuario</cp:lastModifiedBy>
  <cp:lastPrinted>2010-06-03T19:39:34Z</cp:lastPrinted>
  <dcterms:created xsi:type="dcterms:W3CDTF">2010-01-09T16:18:22Z</dcterms:created>
  <dcterms:modified xsi:type="dcterms:W3CDTF">2020-03-04T11:47:48Z</dcterms:modified>
</cp:coreProperties>
</file>