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2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bookViews>
    <workbookView xWindow="0" yWindow="0" windowWidth="28800" windowHeight="12210" activeTab="3"/>
  </bookViews>
  <sheets>
    <sheet name="Nómina" sheetId="8" r:id="rId1"/>
    <sheet name="Datos IRPF" sheetId="11" r:id="rId2"/>
    <sheet name="Retribuciones" sheetId="12" r:id="rId3"/>
    <sheet name="Horas parciales" sheetId="13" r:id="rId4"/>
    <sheet name="Hoja2" sheetId="10" state="hidden" r:id="rId5"/>
  </sheets>
  <calcPr calcId="171027"/>
</workbook>
</file>

<file path=xl/calcChain.xml><?xml version="1.0" encoding="utf-8"?>
<calcChain xmlns="http://schemas.openxmlformats.org/spreadsheetml/2006/main">
  <c r="G51" i="13" l="1"/>
  <c r="G50" i="13"/>
  <c r="G49" i="13"/>
  <c r="G48" i="13"/>
  <c r="G47" i="13"/>
  <c r="G46" i="13"/>
  <c r="G45" i="13"/>
  <c r="G44" i="13"/>
  <c r="G43" i="13"/>
  <c r="D42" i="13"/>
  <c r="G42" i="13" s="1"/>
  <c r="G41" i="13"/>
  <c r="G40" i="13"/>
  <c r="G39" i="13"/>
  <c r="G37" i="13"/>
  <c r="C9" i="13"/>
  <c r="C10" i="13" s="1"/>
  <c r="G8" i="13"/>
  <c r="G5" i="13"/>
  <c r="F10" i="13" l="1"/>
  <c r="G10" i="13" s="1"/>
  <c r="C11" i="13"/>
  <c r="G9" i="13"/>
  <c r="C7" i="8"/>
  <c r="C12" i="13" l="1"/>
  <c r="G11" i="13"/>
  <c r="O25" i="10"/>
  <c r="N25" i="10"/>
  <c r="M25" i="10"/>
  <c r="L25" i="10"/>
  <c r="K25" i="10"/>
  <c r="J25" i="10"/>
  <c r="I25" i="10"/>
  <c r="H25" i="10"/>
  <c r="G25" i="10"/>
  <c r="C13" i="13" l="1"/>
  <c r="G12" i="13"/>
  <c r="C70" i="8"/>
  <c r="C69" i="8"/>
  <c r="C68" i="8"/>
  <c r="C67" i="8"/>
  <c r="C14" i="13" l="1"/>
  <c r="G13" i="13"/>
  <c r="C71" i="8"/>
  <c r="E7" i="8"/>
  <c r="G14" i="13" l="1"/>
  <c r="C15" i="13"/>
  <c r="B44" i="11"/>
  <c r="B43" i="11"/>
  <c r="B57" i="8"/>
  <c r="C47" i="8"/>
  <c r="C46" i="8"/>
  <c r="C45" i="8"/>
  <c r="B47" i="8"/>
  <c r="B46" i="8"/>
  <c r="B45" i="8"/>
  <c r="F15" i="13" l="1"/>
  <c r="C16" i="13"/>
  <c r="G15" i="13"/>
  <c r="B61" i="8"/>
  <c r="B60" i="8"/>
  <c r="B55" i="8"/>
  <c r="G20" i="8"/>
  <c r="A39" i="11"/>
  <c r="B41" i="11"/>
  <c r="I42" i="11" s="1"/>
  <c r="B40" i="11"/>
  <c r="H40" i="11" s="1"/>
  <c r="C38" i="8"/>
  <c r="B38" i="8"/>
  <c r="I44" i="11"/>
  <c r="I45" i="11"/>
  <c r="F45" i="11"/>
  <c r="F44" i="11"/>
  <c r="F43" i="11"/>
  <c r="F42" i="11"/>
  <c r="B36" i="8"/>
  <c r="B35" i="8"/>
  <c r="B37" i="8"/>
  <c r="B34" i="8"/>
  <c r="F40" i="11"/>
  <c r="F41" i="11"/>
  <c r="B45" i="11"/>
  <c r="H45" i="11"/>
  <c r="H44" i="11"/>
  <c r="C17" i="13" l="1"/>
  <c r="G16" i="13"/>
  <c r="G44" i="11"/>
  <c r="C42" i="11"/>
  <c r="G45" i="11"/>
  <c r="H41" i="11"/>
  <c r="I43" i="11"/>
  <c r="I41" i="11"/>
  <c r="H42" i="11"/>
  <c r="G42" i="11" s="1"/>
  <c r="I40" i="11"/>
  <c r="G40" i="11" s="1"/>
  <c r="H43" i="11"/>
  <c r="M42" i="11"/>
  <c r="M47" i="11"/>
  <c r="M46" i="11"/>
  <c r="M45" i="11"/>
  <c r="M44" i="11"/>
  <c r="M43" i="11"/>
  <c r="M41" i="11"/>
  <c r="A44" i="11"/>
  <c r="A43" i="11"/>
  <c r="A41" i="11"/>
  <c r="A40" i="11"/>
  <c r="A45" i="11"/>
  <c r="A42" i="11"/>
  <c r="M40" i="11"/>
  <c r="C18" i="13" l="1"/>
  <c r="G17" i="13"/>
  <c r="G41" i="11"/>
  <c r="G43" i="11"/>
  <c r="G18" i="13" l="1"/>
  <c r="C19" i="13"/>
  <c r="H13" i="11"/>
  <c r="B42" i="11" s="1"/>
  <c r="C20" i="13" l="1"/>
  <c r="G19" i="13"/>
  <c r="E20" i="8"/>
  <c r="B32" i="11"/>
  <c r="B31" i="11"/>
  <c r="B30" i="11"/>
  <c r="C22" i="11"/>
  <c r="C21" i="11"/>
  <c r="C19" i="11"/>
  <c r="C15" i="11"/>
  <c r="C14" i="11"/>
  <c r="C12" i="11"/>
  <c r="C6" i="11"/>
  <c r="AB42" i="10"/>
  <c r="AB43" i="10" s="1"/>
  <c r="AB44" i="10" s="1"/>
  <c r="AB45" i="10" s="1"/>
  <c r="AB46" i="10" s="1"/>
  <c r="AB47" i="10" s="1"/>
  <c r="AA42" i="10"/>
  <c r="AA43" i="10" s="1"/>
  <c r="AA44" i="10" s="1"/>
  <c r="AA41" i="10"/>
  <c r="AA40" i="10"/>
  <c r="AB39" i="10"/>
  <c r="AB40" i="10" s="1"/>
  <c r="AB41" i="10" s="1"/>
  <c r="AA39" i="10"/>
  <c r="C21" i="13" l="1"/>
  <c r="F20" i="13"/>
  <c r="G20" i="13" s="1"/>
  <c r="C34" i="11"/>
  <c r="C35" i="11" s="1"/>
  <c r="AA45" i="10"/>
  <c r="E28" i="8"/>
  <c r="G28" i="8" s="1"/>
  <c r="E29" i="8"/>
  <c r="G29" i="8" s="1"/>
  <c r="E30" i="8"/>
  <c r="G30" i="8" s="1"/>
  <c r="E31" i="8"/>
  <c r="G31" i="8" s="1"/>
  <c r="E32" i="8"/>
  <c r="G32" i="8" s="1"/>
  <c r="E33" i="8"/>
  <c r="G33" i="8" s="1"/>
  <c r="B27" i="8"/>
  <c r="AI104" i="8"/>
  <c r="D16" i="10" s="1"/>
  <c r="D18" i="10" s="1"/>
  <c r="F32" i="8"/>
  <c r="F31" i="8"/>
  <c r="F30" i="8"/>
  <c r="F29" i="8"/>
  <c r="M107" i="8"/>
  <c r="M108" i="8"/>
  <c r="M109" i="8"/>
  <c r="M110" i="8"/>
  <c r="M111" i="8"/>
  <c r="M112" i="8"/>
  <c r="F28" i="8"/>
  <c r="B23" i="8"/>
  <c r="M104" i="8"/>
  <c r="AG127" i="8"/>
  <c r="AE127" i="8" s="1"/>
  <c r="AC127" i="8" s="1"/>
  <c r="AA127" i="8" s="1"/>
  <c r="Y127" i="8" s="1"/>
  <c r="W127" i="8" s="1"/>
  <c r="AG126" i="8"/>
  <c r="AE126" i="8" s="1"/>
  <c r="AC126" i="8" s="1"/>
  <c r="AA126" i="8" s="1"/>
  <c r="Y126" i="8" s="1"/>
  <c r="W126" i="8" s="1"/>
  <c r="B24" i="8"/>
  <c r="G21" i="13" l="1"/>
  <c r="C22" i="13"/>
  <c r="N110" i="8"/>
  <c r="AF126" i="8"/>
  <c r="AD126" i="8" s="1"/>
  <c r="AB126" i="8" s="1"/>
  <c r="Z126" i="8" s="1"/>
  <c r="X126" i="8" s="1"/>
  <c r="V126" i="8" s="1"/>
  <c r="AA46" i="10"/>
  <c r="D28" i="10"/>
  <c r="M88" i="8" s="1"/>
  <c r="M78" i="8"/>
  <c r="M76" i="8"/>
  <c r="M120" i="8" s="1"/>
  <c r="D22" i="10"/>
  <c r="M82" i="8" s="1"/>
  <c r="D33" i="10"/>
  <c r="M93" i="8" s="1"/>
  <c r="M116" i="8" s="1"/>
  <c r="D19" i="10"/>
  <c r="M79" i="8" s="1"/>
  <c r="D24" i="10"/>
  <c r="M84" i="8" s="1"/>
  <c r="D17" i="10"/>
  <c r="M77" i="8" s="1"/>
  <c r="C21" i="8" s="1"/>
  <c r="D25" i="10"/>
  <c r="M85" i="8" s="1"/>
  <c r="C25" i="8" s="1"/>
  <c r="D20" i="10"/>
  <c r="M80" i="8" s="1"/>
  <c r="D32" i="10"/>
  <c r="M92" i="8" s="1"/>
  <c r="D30" i="10"/>
  <c r="M90" i="8" s="1"/>
  <c r="D27" i="10"/>
  <c r="M87" i="8" s="1"/>
  <c r="C26" i="8" s="1"/>
  <c r="D26" i="10"/>
  <c r="M86" i="8" s="1"/>
  <c r="D34" i="10"/>
  <c r="M94" i="8" s="1"/>
  <c r="M115" i="8" s="1"/>
  <c r="D31" i="10"/>
  <c r="M91" i="8" s="1"/>
  <c r="D29" i="10"/>
  <c r="M89" i="8" s="1"/>
  <c r="C23" i="8" s="1"/>
  <c r="D21" i="10"/>
  <c r="M81" i="8" s="1"/>
  <c r="D23" i="10"/>
  <c r="M83" i="8" s="1"/>
  <c r="G22" i="13" l="1"/>
  <c r="C23" i="13"/>
  <c r="D34" i="8"/>
  <c r="H34" i="8" s="1"/>
  <c r="E34" i="8"/>
  <c r="G34" i="8" s="1"/>
  <c r="D35" i="8"/>
  <c r="D36" i="8"/>
  <c r="D37" i="8"/>
  <c r="D22" i="8"/>
  <c r="D21" i="8"/>
  <c r="E21" i="8" s="1"/>
  <c r="D26" i="8"/>
  <c r="E26" i="8" s="1"/>
  <c r="D27" i="8"/>
  <c r="D40" i="8"/>
  <c r="D39" i="8"/>
  <c r="D25" i="8"/>
  <c r="E25" i="8" s="1"/>
  <c r="D24" i="8"/>
  <c r="E24" i="8" s="1"/>
  <c r="G24" i="8" s="1"/>
  <c r="D23" i="8"/>
  <c r="E23" i="8" s="1"/>
  <c r="E22" i="8"/>
  <c r="G22" i="8" s="1"/>
  <c r="C22" i="8"/>
  <c r="B22" i="8" s="1"/>
  <c r="AA47" i="10"/>
  <c r="M105" i="8"/>
  <c r="G23" i="13" l="1"/>
  <c r="C24" i="13"/>
  <c r="G25" i="8"/>
  <c r="G23" i="8"/>
  <c r="H37" i="8"/>
  <c r="E37" i="8"/>
  <c r="G37" i="8" s="1"/>
  <c r="H36" i="8"/>
  <c r="E36" i="8"/>
  <c r="G36" i="8" s="1"/>
  <c r="E39" i="8"/>
  <c r="G39" i="8" s="1"/>
  <c r="H35" i="8"/>
  <c r="E35" i="8"/>
  <c r="G35" i="8" s="1"/>
  <c r="E40" i="8"/>
  <c r="G40" i="8" s="1"/>
  <c r="G26" i="8"/>
  <c r="E27" i="8"/>
  <c r="D38" i="8"/>
  <c r="D41" i="8" s="1"/>
  <c r="D54" i="8"/>
  <c r="G21" i="8"/>
  <c r="C25" i="13" l="1"/>
  <c r="G24" i="13"/>
  <c r="D60" i="8"/>
  <c r="B25" i="11" s="1"/>
  <c r="D57" i="8"/>
  <c r="E41" i="8"/>
  <c r="G27" i="8"/>
  <c r="G41" i="8" s="1"/>
  <c r="D55" i="8"/>
  <c r="D61" i="8" s="1"/>
  <c r="B29" i="11" s="1"/>
  <c r="F25" i="13" l="1"/>
  <c r="G25" i="13" s="1"/>
  <c r="B34" i="11"/>
  <c r="B35" i="11" s="1"/>
  <c r="B36" i="11" s="1"/>
  <c r="B37" i="11" s="1"/>
  <c r="D45" i="8"/>
  <c r="D47" i="8" s="1"/>
  <c r="G45" i="8"/>
  <c r="G47" i="8"/>
  <c r="G46" i="8"/>
  <c r="D46" i="8"/>
  <c r="C17" i="8" l="1"/>
  <c r="C48" i="8" s="1"/>
  <c r="D48" i="8" s="1"/>
  <c r="D50" i="8" s="1"/>
  <c r="D52" i="8" s="1"/>
  <c r="E48" i="8"/>
  <c r="G52" i="8" l="1"/>
</calcChain>
</file>

<file path=xl/comments1.xml><?xml version="1.0" encoding="utf-8"?>
<comments xmlns="http://schemas.openxmlformats.org/spreadsheetml/2006/main">
  <authors>
    <author>JA</author>
  </authors>
  <commentList>
    <comment ref="C17" authorId="0" shapeId="0">
      <text>
        <r>
          <rPr>
            <b/>
            <sz val="8"/>
            <color indexed="81"/>
            <rFont val="Tahoma"/>
            <family val="2"/>
          </rPr>
          <t>RETENCIÓN IRPF
Introducir el % de retención que te corresponda. En la web http://www.aeat.es, lo puedes calcular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<sst xmlns="http://schemas.openxmlformats.org/spreadsheetml/2006/main" count="365" uniqueCount="241">
  <si>
    <t>Nivel</t>
  </si>
  <si>
    <t>Grupo</t>
  </si>
  <si>
    <t>Grado</t>
  </si>
  <si>
    <t>Sueldo Base</t>
  </si>
  <si>
    <t xml:space="preserve">Trienios </t>
  </si>
  <si>
    <t xml:space="preserve">Complemento Destino </t>
  </si>
  <si>
    <t>Complemento Específico</t>
  </si>
  <si>
    <t>Residencia Isla Capitalina</t>
  </si>
  <si>
    <t>Residencia Isla No Capitalina</t>
  </si>
  <si>
    <t>Trienios Residencia Isla No Capitalina</t>
  </si>
  <si>
    <t>Director de Centros de Profesores</t>
  </si>
  <si>
    <t>Director de Residencia Escolar Permanente</t>
  </si>
  <si>
    <t>Director de Residencia Escolar</t>
  </si>
  <si>
    <t>Acogida Temprana. Grupo A2</t>
  </si>
  <si>
    <t>Hora Lectiva Complementaria, Refuerzo Educativo. Grupo A2</t>
  </si>
  <si>
    <t>Jefe de Departamento</t>
  </si>
  <si>
    <t>Maestros de Ocio con Residencia Permanente</t>
  </si>
  <si>
    <t>MUFACE</t>
  </si>
  <si>
    <t>Puntos Ley 4/1991</t>
  </si>
  <si>
    <t>Puntos 2010</t>
  </si>
  <si>
    <t>Extra Junio Sueldo Base</t>
  </si>
  <si>
    <t>Extra Diciembre Sueldo Base</t>
  </si>
  <si>
    <t>Extra Junio Trienio</t>
  </si>
  <si>
    <t>Extra Diciembre Trienios</t>
  </si>
  <si>
    <t>Encargado/a Comedor Gestión Directa. Módulo Hasta 100 comensales.</t>
  </si>
  <si>
    <t>Encargado/a Comedor Gestión Directa. Módulo De 101 a 300 comensales.</t>
  </si>
  <si>
    <t>Encargado/a Comedor Gestión Directa. Módulo Más de 300 comensales.</t>
  </si>
  <si>
    <t>Encargado/a Comedor Gestión Contratada. Módulo Hasta 100 comensales.</t>
  </si>
  <si>
    <t>Encargado/a Comedor Gestión Contratada. Módulo De 101 a 300 comensales.</t>
  </si>
  <si>
    <t>Encargado/a Comedor Gestión Contratada. Módulo Más de 300 comensales.</t>
  </si>
  <si>
    <t>Director/ra IES, CEO, EA. Centro Tipo A (1650 o más Alumnos)</t>
  </si>
  <si>
    <t>Director/ra IES, CEO, EA. Centro Tipo B (de 901 a 1649 Alumnos)</t>
  </si>
  <si>
    <t>Director/ra IES, CEO, EA. Centro Tipo C (de 581 a 900 Alumnos)</t>
  </si>
  <si>
    <t>Director/ra IES, CEO, EA. Centro Tipo D (hasta 580 Alumnos)</t>
  </si>
  <si>
    <t>Jefe Estudios IES, CEO, EA. Centro Tipo A (1650 o más Alumnos)</t>
  </si>
  <si>
    <t>Jefe Estudios IES, CEO, EA. Centro Tipo B (de 901 a 1649 Alumnos)</t>
  </si>
  <si>
    <t>Jefe Estudios IES, CEO, EA. Centro Tipo C (de 581 a 900 Alumnos)</t>
  </si>
  <si>
    <t>Jefe Estudios IES, CEO, EA. Centro Tipo D (hasta 580 Alumnos)</t>
  </si>
  <si>
    <t>Secretario/a IES, CEO, EA. Centro Tipo A (1650 o más Alumnos)</t>
  </si>
  <si>
    <t>Secretario/a IES, CEO, EA. Centro Tipo B (de 901 a 1649 Alumnos)</t>
  </si>
  <si>
    <t>Secretario/a IES, CEO, EA. Centro Tipo C (de 581 a 900 Alumnos)</t>
  </si>
  <si>
    <t>Secretario/a IES, CEO, EA. Centro Tipo D (hasta 580 Alumnos)</t>
  </si>
  <si>
    <t>Vicedirector/ra IES, CEO, EA. Centro Tipo A (1650 o más Alumnos)</t>
  </si>
  <si>
    <t>Vicedirector/ra IES, CEO, EA. Centro Tipo B (de 901 a 1649 Alumnos)</t>
  </si>
  <si>
    <t>Vicedirector/ra IES, CEO, EA. Centro Tipo C (de 581 a 900 Alumnos)</t>
  </si>
  <si>
    <t>Vicedirector/ra IES, CEO, EA. Centro Tipo D (hasta 580 Alumnos)</t>
  </si>
  <si>
    <t>Jefe Estudios Adjunto IES, CEO, EA. Centro Tipo A (1650 o más Alumnos)</t>
  </si>
  <si>
    <t>Jefe Estudios Adjunto IES, CEO, EA. Centro Tipo B (de 901 a 1649 Alumnos)</t>
  </si>
  <si>
    <t>Jefe Estudios Adjunto IES, CEO, EA. Centro Tipo C (de 581 a 900 Alumnos)</t>
  </si>
  <si>
    <t>Jefe Estudios Adjunto IES, CEO, EA. Centro Tipo D (hasta 580 Alumnos)</t>
  </si>
  <si>
    <t>Vicedirector/ra. CEIP, CEP, CEEE, EEI Tipo A (Más de 35 Unidades)</t>
  </si>
  <si>
    <t>Vicedirector/ra. CEIP, CEP, CEEE, EEI Tipo B (27 a 35 Unidades)</t>
  </si>
  <si>
    <t>Vicedirector/ra. CEIP, CEP, CEEE, EEI Tipo C (18 a 26 Unidades)</t>
  </si>
  <si>
    <t>N</t>
  </si>
  <si>
    <t>Otro Complemento: Elegir opción del menú desplegable</t>
  </si>
  <si>
    <t>Trienios</t>
  </si>
  <si>
    <t>INGRESOS BRUTOS</t>
  </si>
  <si>
    <t>GASTOS</t>
  </si>
  <si>
    <t>S</t>
  </si>
  <si>
    <t>Junio</t>
  </si>
  <si>
    <t>Diciembre</t>
  </si>
  <si>
    <t>Importe Nómina</t>
  </si>
  <si>
    <t>% Retención IRPF</t>
  </si>
  <si>
    <t>Coordinador de Servicios Centrales. Tipo A2</t>
  </si>
  <si>
    <r>
      <rPr>
        <sz val="10"/>
        <color indexed="8"/>
        <rFont val="Verdana"/>
        <family val="2"/>
      </rPr>
      <t xml:space="preserve">Elaborado por </t>
    </r>
    <r>
      <rPr>
        <b/>
        <sz val="10"/>
        <color indexed="8"/>
        <rFont val="Verdana"/>
        <family val="2"/>
      </rPr>
      <t>DOCENTES DE CANARIAS-INSUCAN</t>
    </r>
  </si>
  <si>
    <t>DESCUENTOS</t>
  </si>
  <si>
    <t>Clases Pasivas</t>
  </si>
  <si>
    <t>Sin Sexenio</t>
  </si>
  <si>
    <t>Maestros de Primero y Segundo de Enseñanza Secundaria Obligatoria</t>
  </si>
  <si>
    <t>Extra diciembre sexenios</t>
  </si>
  <si>
    <t>HOMOLOGACIÓN 1º Sexenio</t>
  </si>
  <si>
    <t>HOMOLOGACIÓN 2º Sexenio</t>
  </si>
  <si>
    <t>HOMOLOGACIÓN 5º Sexenio</t>
  </si>
  <si>
    <t>HOMOLOGACIÓN 3º Sexenio</t>
  </si>
  <si>
    <t>HOMOLOGACIÓN 4º Sexenio</t>
  </si>
  <si>
    <t>Paga Extra, HOMOLOGACIÓN 1º Sexenio</t>
  </si>
  <si>
    <t>Paga Extra, HOMOLOGACIÓN 2º Sexenio</t>
  </si>
  <si>
    <t>Paga Extra, HOMOLOGACIÓN 3º Sexenio</t>
  </si>
  <si>
    <t>Paga Extra, HOMOLOGACIÓN 4º Sexenio</t>
  </si>
  <si>
    <t>Paga Extra, HOMOLOGACIÓN 5º Sexenio</t>
  </si>
  <si>
    <t>Paga Extra, HOMOLOGACIÓN Sin Sexenio</t>
  </si>
  <si>
    <t>A1</t>
  </si>
  <si>
    <t>SUELDO MENSUAL LIQUIDO A PERCIBIR</t>
  </si>
  <si>
    <t>Cuerpo Docente</t>
  </si>
  <si>
    <t>Funcionario</t>
  </si>
  <si>
    <t xml:space="preserve">Maestro de Primero y Segundo de la ESO </t>
  </si>
  <si>
    <t>Nómina con Paga Extraordinaria</t>
  </si>
  <si>
    <t xml:space="preserve">Destino en Isla No Capitalina  </t>
  </si>
  <si>
    <t>1º Sexenio</t>
  </si>
  <si>
    <t>2º Sexenio</t>
  </si>
  <si>
    <t>3º Sexenio</t>
  </si>
  <si>
    <t>4º Sexenio</t>
  </si>
  <si>
    <t>5º Sexenio</t>
  </si>
  <si>
    <t>Comunidad</t>
  </si>
  <si>
    <t>Años de Servicio a efectos de trienios</t>
  </si>
  <si>
    <t>Tutoría</t>
  </si>
  <si>
    <t>Interino</t>
  </si>
  <si>
    <t>Andalucía</t>
  </si>
  <si>
    <t>Aragón</t>
  </si>
  <si>
    <t>Asturias</t>
  </si>
  <si>
    <t>Baleares (Islas)</t>
  </si>
  <si>
    <t>Canarias</t>
  </si>
  <si>
    <t>Cantabria</t>
  </si>
  <si>
    <t>Castilla y León</t>
  </si>
  <si>
    <t>Castilla-La Mancha</t>
  </si>
  <si>
    <t>Cataluña</t>
  </si>
  <si>
    <t>Comunidad Valenciana</t>
  </si>
  <si>
    <t>Extremadura</t>
  </si>
  <si>
    <t>Galicia</t>
  </si>
  <si>
    <t>Madrid (Comunidad de)</t>
  </si>
  <si>
    <t>Murcia (Región de)</t>
  </si>
  <si>
    <t>Navarra (Comunidad Foral de)</t>
  </si>
  <si>
    <t>País Vasco</t>
  </si>
  <si>
    <t>Rioja (La)</t>
  </si>
  <si>
    <t>Catedráticos</t>
  </si>
  <si>
    <t>Profesores Técnicos de Formación Profesional</t>
  </si>
  <si>
    <t>Profesores de Escuelas Oficiales de Idiomas</t>
  </si>
  <si>
    <t>Profesores de Artes Plásticas y Diseño</t>
  </si>
  <si>
    <t>Maestros de Taller de Artes Plásticas y Diseño</t>
  </si>
  <si>
    <t>Maestros</t>
  </si>
  <si>
    <t>510-Inspección</t>
  </si>
  <si>
    <t>511-Catedráticos</t>
  </si>
  <si>
    <t>590-Profesores Enseñanza Secundaria</t>
  </si>
  <si>
    <t>591-Profesores Técnicos de Formación Profesional</t>
  </si>
  <si>
    <t>592-Profesores de Escuelas Oficiales de Idiomas</t>
  </si>
  <si>
    <t>594-Profesores de Música y Artes Escénicas</t>
  </si>
  <si>
    <t>595-Profesores de Artes Plásticas y Diseño</t>
  </si>
  <si>
    <t>596-Maestros de Taller de Artes Plásticas y Diseño</t>
  </si>
  <si>
    <t>597-Maestros</t>
  </si>
  <si>
    <t>Cuota Afiliación DOCENTES DE CANARIAS-INSUCAN</t>
  </si>
  <si>
    <t>Perdido</t>
  </si>
  <si>
    <t xml:space="preserve">    Descuento del 50% del 1º al 3º día y el 25% del 4º al 20º día</t>
  </si>
  <si>
    <t>A2</t>
  </si>
  <si>
    <t>Extra S Base</t>
  </si>
  <si>
    <t>Trienios Extra</t>
  </si>
  <si>
    <t>Complemento Destino</t>
  </si>
  <si>
    <t>Profesores de Enseñanza Secundaria</t>
  </si>
  <si>
    <t>Profesores de Musica y Artes Escénicas</t>
  </si>
  <si>
    <t>Inspectores</t>
  </si>
  <si>
    <t>Canarias 2014</t>
  </si>
  <si>
    <t>Elegir lo que corresponda de los menús desplegables</t>
  </si>
  <si>
    <t>Puntos 2014</t>
  </si>
  <si>
    <t>Grupo, Nivel, Puntos y Grado</t>
  </si>
  <si>
    <t>Días de baja</t>
  </si>
  <si>
    <t>Director/ra CEIP, CEP, CEEE, EEI, CEPA. Cordinador CER. Tipo A (Más de 35 Unidades)</t>
  </si>
  <si>
    <t>Director/ra CEIP, CEP, CEEE, EEI, CEPA. Cordinador CER. Tipo B (27 a 35 Unidades)</t>
  </si>
  <si>
    <t>Director/ra CEIP, CEP, CEEE, EEI, CEPA. Cordinador CER. Tipo C (18 a 26 Unidades)</t>
  </si>
  <si>
    <t>Director/ra CEIP, CEP, CEEE, EEI, CEPA. Cordinador CER. Tipo D (9 a 17 Unidades)</t>
  </si>
  <si>
    <t>Director/ra CEIP, CEP, CEEE, EEI, CEPA. Cordinador CER. Tipo E (6 a 8 Unidades)</t>
  </si>
  <si>
    <t>Director/ra CEIP, CEP, CEEE, EEI, CEPA. Cordinador CER. Tipo F (1 a 5 Unidades)</t>
  </si>
  <si>
    <t>J. Estudios. CEIP, CEP, CEEE, EEI, CEPA. Tipo A (Más de 35 Unidades)</t>
  </si>
  <si>
    <t>J. Estudios. CEIP, CEP, CEEE, EEI, CEPA. Tipo B (27 a 35 Unidades)</t>
  </si>
  <si>
    <t>J. Estudios. CEIP, CEP, CEEE, EEI, CEPA. Tipo C (18 a 26 Unidades)</t>
  </si>
  <si>
    <t>J. Estudios. CEIP, CEP, CEEE, EEI, CEPA. Tipo D (9 a 17 Unidades)</t>
  </si>
  <si>
    <t>Secretario/a. CEIP, CEP, CEEE, EEI, CEPA. Tipo A (Más de 35 Unidades)</t>
  </si>
  <si>
    <t>Secretario/a. CEIP, CEP, CEEE, EEI, CEPA. Tipo B (27 a 35 Unidades)</t>
  </si>
  <si>
    <t>Secretario/a. CEIP, CEP, CEEE, EEI, CEPA. Tipo C (18 a 26 Unidades)</t>
  </si>
  <si>
    <t>Secretario/a. CEIP, CEP, CEEE, EEI, CEPA. Tipo D (9 a 17 Unidades)</t>
  </si>
  <si>
    <t>Secretario/a. CEIP, CEP, CEEE, EEI, CEPA. Tipo E (6 a 8 Unidades)</t>
  </si>
  <si>
    <t>Elegir el cuerpo docente</t>
  </si>
  <si>
    <t xml:space="preserve">  </t>
  </si>
  <si>
    <t>DATOS PARA EL CÁLCULO DEL % DE RETENCIÓN DE IRPF</t>
  </si>
  <si>
    <t>Cumplimentar las casillas de fondo amarillo</t>
  </si>
  <si>
    <t>CONTRIBUYENTE</t>
  </si>
  <si>
    <t>REDUCCIÓN</t>
  </si>
  <si>
    <t>Mínimo personal</t>
  </si>
  <si>
    <t>Discapacidad del contribuyente entre el 33% y el 65%</t>
  </si>
  <si>
    <t>NO</t>
  </si>
  <si>
    <t>Discapacidad del contribuyente igual o superior al 65%</t>
  </si>
  <si>
    <t>DESCENDIENTES, con rentas inferiores a 8.000€</t>
  </si>
  <si>
    <t>El contribuyente es el único que se desgrava por hijos.</t>
  </si>
  <si>
    <t>Número de hijos menores de veinticinco años o con discapacidad cualquiera que sea su edad</t>
  </si>
  <si>
    <t xml:space="preserve">De los anteriores, número de hijos menores de 3 años </t>
  </si>
  <si>
    <t xml:space="preserve">Número de descendientes con grado de discapacidad igual o mayor del 33% y menor del 65% </t>
  </si>
  <si>
    <t>Número de descendientes con grado de discapacidad igual o mayor del 65%</t>
  </si>
  <si>
    <t>ASCENDIENTES, que convivan y con rentas inferiores a 8.000€</t>
  </si>
  <si>
    <t xml:space="preserve">Número de contribuyentes que se aplican esta deducción </t>
  </si>
  <si>
    <t>Número de ascendientes mayores de 65 años o con discapacidad cualquiera que sea su edad</t>
  </si>
  <si>
    <t xml:space="preserve">De los anteriores, número de asecendientes con más de 75 años </t>
  </si>
  <si>
    <t>Número de ascendientes con grado de discapacidad igual o mayor del 33% y menor del 65%</t>
  </si>
  <si>
    <t>Número de ascendientes con grado de discapacidad igual o mayor del 65%</t>
  </si>
  <si>
    <t>SUELDO BRUTO</t>
  </si>
  <si>
    <t>Rendimiento Bruto</t>
  </si>
  <si>
    <t>DEDUCCIONES</t>
  </si>
  <si>
    <t>Rendimiento del trabajo</t>
  </si>
  <si>
    <t>3 o más hijos</t>
  </si>
  <si>
    <t>Base IRPF</t>
  </si>
  <si>
    <t>Cuota IRPF</t>
  </si>
  <si>
    <t>Cuota Final IRPF</t>
  </si>
  <si>
    <t>% de retención de IRPF</t>
  </si>
  <si>
    <t>Trabajador</t>
  </si>
  <si>
    <t>Empresa</t>
  </si>
  <si>
    <t>Elaborado por DOCENTES DE CANARIAS-INSUCAN CSI.F</t>
  </si>
  <si>
    <t>Seguridad Social y Cuota sindical</t>
  </si>
  <si>
    <t>Cuerpo</t>
  </si>
  <si>
    <t>E</t>
  </si>
  <si>
    <t>C2</t>
  </si>
  <si>
    <t>C1</t>
  </si>
  <si>
    <t>B</t>
  </si>
  <si>
    <t>Comprobar</t>
  </si>
  <si>
    <t>Estimación % de retención de IRPF. Año 2016</t>
  </si>
  <si>
    <t>Extra Sueldo Base</t>
  </si>
  <si>
    <t>Edad</t>
  </si>
  <si>
    <t>SI</t>
  </si>
  <si>
    <t>Horas lectivas del cuerpo</t>
  </si>
  <si>
    <t>Horas lectivas semanales</t>
  </si>
  <si>
    <t>Paga extra, Resto</t>
  </si>
  <si>
    <t>Paga extra, Complemento Específico</t>
  </si>
  <si>
    <t>Agosto</t>
  </si>
  <si>
    <t>Inicio computo paga extra junio Resto</t>
  </si>
  <si>
    <t>Inicio computo paga extra junio Cespecifico</t>
  </si>
  <si>
    <t>Inicio</t>
  </si>
  <si>
    <t>Inicio computo paga extra Diciembre Resto</t>
  </si>
  <si>
    <t>Inicio computo paga extra Agosto Resto</t>
  </si>
  <si>
    <t>Inicio computo paga extra Agosto Cespecifico</t>
  </si>
  <si>
    <t>Inicio computo paga extra diciembre Cespecifico</t>
  </si>
  <si>
    <t>Fin computo paga extra diciembre Resto</t>
  </si>
  <si>
    <t>Fin computo paga extra diciembre Cespecifico</t>
  </si>
  <si>
    <t>Fin</t>
  </si>
  <si>
    <t>Totales</t>
  </si>
  <si>
    <t>Trabajado</t>
  </si>
  <si>
    <t>SUELDO BRUTO ANUAL. Curso completo</t>
  </si>
  <si>
    <t>Días trabajados en el mes</t>
  </si>
  <si>
    <t>Carrera (anterior a 1 enero 2011)</t>
  </si>
  <si>
    <t>Carrera (posterior a 1 enero 2011)</t>
  </si>
  <si>
    <t>Fecha cese. Curso 2015/16</t>
  </si>
  <si>
    <t>Fecha incorporación. Curso 2015/16</t>
  </si>
  <si>
    <t>Extra interinos: Junio, Agosto y Diciembre</t>
  </si>
  <si>
    <r>
      <t xml:space="preserve">Fecha incorporación. </t>
    </r>
    <r>
      <rPr>
        <b/>
        <sz val="10"/>
        <rFont val="Verdana"/>
        <family val="2"/>
      </rPr>
      <t>Próximo curso 2016/17</t>
    </r>
  </si>
  <si>
    <r>
      <t xml:space="preserve">Fecha cese. </t>
    </r>
    <r>
      <rPr>
        <b/>
        <sz val="10"/>
        <rFont val="Verdana"/>
        <family val="2"/>
      </rPr>
      <t>Próximo curso 2016/17</t>
    </r>
  </si>
  <si>
    <t>Para estimar el % retención debe introducir en "Datos IRPF" los datos</t>
  </si>
  <si>
    <t>Horas complementarias</t>
  </si>
  <si>
    <t>Horas lectivas del nombramiento</t>
  </si>
  <si>
    <t>Horas de periodicidad no fija</t>
  </si>
  <si>
    <t>Preparación de actividades docentes y otras actividades como perfeccionamiento, etc. y de no obligada permanencia en el centro</t>
  </si>
  <si>
    <t>Jornada semana</t>
  </si>
  <si>
    <t>Cuerpo de Maestros en Infantil y Primaria</t>
  </si>
  <si>
    <t>Resto de cuerpos, incluido maestros en 1º y 2º de la ESO</t>
  </si>
  <si>
    <t>Horario semanal</t>
  </si>
  <si>
    <t>Jornada semanal</t>
  </si>
  <si>
    <t>Nómina para los que terminan contrato el Junio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</si>
</sst>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#,##0.00\ &quot;€&quot;"/>
    <numFmt numFmtId="165" formatCode="#,##0.0"/>
    <numFmt numFmtId="166" formatCode="#,##0.00\ &quot;€&quot;;[Red]#,##0.00\ &quot;€&quot;"/>
    <numFmt numFmtId="167" formatCode="#,##0.00_ ;[Red]\-#,##0.00\ "/>
    <numFmt numFmtId="168" formatCode="0.000000000"/>
  </numFmts>
  <fonts count="37" x14ac:knownFonts="1">
    <font>
      <sz val="11"/>
      <color theme="1"/>
      <name val="Calibri"/>
      <family val="2"/>
      <scheme val="minor"/>
    </font>
    <font>
      <sz val="10"/>
      <name val="Verdana"/>
      <family val="2"/>
    </font>
    <font>
      <b/>
      <sz val="10"/>
      <name val="Verdana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0"/>
      <color indexed="8"/>
      <name val="Verdana"/>
      <family val="2"/>
    </font>
    <font>
      <b/>
      <sz val="10"/>
      <color indexed="8"/>
      <name val="Verdana"/>
      <family val="2"/>
    </font>
    <font>
      <b/>
      <u/>
      <sz val="10"/>
      <color indexed="8"/>
      <name val="Calibri"/>
      <family val="2"/>
    </font>
    <font>
      <sz val="9"/>
      <name val="Verdana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b/>
      <sz val="10"/>
      <color theme="1"/>
      <name val="Verdana"/>
      <family val="2"/>
    </font>
    <font>
      <b/>
      <sz val="10"/>
      <color theme="0"/>
      <name val="Verdana"/>
      <family val="2"/>
    </font>
    <font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000000"/>
      <name val="Calibri"/>
      <family val="2"/>
    </font>
    <font>
      <b/>
      <sz val="8"/>
      <color rgb="FF000000"/>
      <name val="Calibri"/>
      <family val="2"/>
      <scheme val="minor"/>
    </font>
    <font>
      <sz val="8"/>
      <color rgb="FF000000"/>
      <name val="Calibri"/>
      <family val="2"/>
      <scheme val="minor"/>
    </font>
    <font>
      <sz val="8"/>
      <color theme="1"/>
      <name val="Verdana"/>
      <family val="2"/>
    </font>
    <font>
      <sz val="12"/>
      <color theme="1"/>
      <name val="Verdana"/>
      <family val="2"/>
    </font>
    <font>
      <sz val="14"/>
      <color theme="1"/>
      <name val="Verdana"/>
      <family val="2"/>
    </font>
    <font>
      <sz val="12"/>
      <color theme="1"/>
      <name val="Calibri"/>
      <family val="2"/>
      <scheme val="minor"/>
    </font>
    <font>
      <sz val="10"/>
      <color rgb="FFFF0000"/>
      <name val="Verdana"/>
      <family val="2"/>
    </font>
    <font>
      <b/>
      <sz val="14"/>
      <color theme="1"/>
      <name val="Verdana"/>
      <family val="2"/>
    </font>
    <font>
      <b/>
      <sz val="12"/>
      <color theme="1"/>
      <name val="Verdana"/>
      <family val="2"/>
    </font>
    <font>
      <sz val="10"/>
      <name val="Arial"/>
      <family val="2"/>
    </font>
    <font>
      <b/>
      <sz val="12"/>
      <name val="Arial"/>
      <family val="2"/>
    </font>
    <font>
      <b/>
      <sz val="12"/>
      <color theme="1"/>
      <name val="Arial"/>
      <family val="2"/>
    </font>
    <font>
      <b/>
      <sz val="10"/>
      <name val="Arial"/>
      <family val="2"/>
    </font>
    <font>
      <b/>
      <sz val="10"/>
      <color rgb="FF333333"/>
      <name val="Verdana"/>
      <family val="2"/>
    </font>
    <font>
      <sz val="10"/>
      <color rgb="FF000000"/>
      <name val="Calibri"/>
      <family val="2"/>
    </font>
    <font>
      <b/>
      <sz val="12"/>
      <color rgb="FFFF0000"/>
      <name val="Verdana"/>
      <family val="2"/>
    </font>
    <font>
      <b/>
      <sz val="9"/>
      <name val="Verdana"/>
      <family val="2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CCE9AD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434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DEA9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CCFF66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0" fillId="0" borderId="0" applyFont="0" applyFill="0" applyBorder="0" applyAlignment="0" applyProtection="0"/>
    <xf numFmtId="9" fontId="10" fillId="0" borderId="0" applyFont="0" applyFill="0" applyBorder="0" applyAlignment="0" applyProtection="0"/>
  </cellStyleXfs>
  <cellXfs count="276">
    <xf numFmtId="0" fontId="0" fillId="0" borderId="0" xfId="0"/>
    <xf numFmtId="0" fontId="11" fillId="2" borderId="0" xfId="0" applyFont="1" applyFill="1" applyProtection="1">
      <protection hidden="1"/>
    </xf>
    <xf numFmtId="0" fontId="11" fillId="2" borderId="0" xfId="0" applyFont="1" applyFill="1" applyBorder="1" applyProtection="1">
      <protection hidden="1"/>
    </xf>
    <xf numFmtId="0" fontId="0" fillId="0" borderId="0" xfId="0" applyFont="1" applyProtection="1">
      <protection hidden="1"/>
    </xf>
    <xf numFmtId="0" fontId="1" fillId="3" borderId="0" xfId="0" applyFont="1" applyFill="1" applyBorder="1" applyAlignment="1" applyProtection="1">
      <protection hidden="1"/>
    </xf>
    <xf numFmtId="4" fontId="1" fillId="2" borderId="0" xfId="0" applyNumberFormat="1" applyFont="1" applyFill="1" applyBorder="1" applyAlignment="1" applyProtection="1">
      <alignment horizontal="right" wrapText="1" indent="1"/>
      <protection hidden="1"/>
    </xf>
    <xf numFmtId="0" fontId="1" fillId="4" borderId="1" xfId="0" applyFont="1" applyFill="1" applyBorder="1" applyAlignment="1" applyProtection="1">
      <alignment horizontal="center" wrapText="1"/>
      <protection hidden="1"/>
    </xf>
    <xf numFmtId="0" fontId="11" fillId="4" borderId="2" xfId="0" applyFont="1" applyFill="1" applyBorder="1" applyProtection="1">
      <protection hidden="1"/>
    </xf>
    <xf numFmtId="164" fontId="12" fillId="4" borderId="3" xfId="0" applyNumberFormat="1" applyFont="1" applyFill="1" applyBorder="1" applyAlignment="1" applyProtection="1">
      <alignment horizontal="center"/>
      <protection hidden="1"/>
    </xf>
    <xf numFmtId="0" fontId="13" fillId="5" borderId="24" xfId="0" applyFont="1" applyFill="1" applyBorder="1" applyAlignment="1" applyProtection="1">
      <alignment horizontal="left" wrapText="1"/>
      <protection hidden="1"/>
    </xf>
    <xf numFmtId="0" fontId="12" fillId="6" borderId="1" xfId="0" applyFont="1" applyFill="1" applyBorder="1" applyAlignment="1" applyProtection="1">
      <alignment horizontal="center"/>
      <protection hidden="1"/>
    </xf>
    <xf numFmtId="4" fontId="2" fillId="6" borderId="2" xfId="0" applyNumberFormat="1" applyFont="1" applyFill="1" applyBorder="1" applyAlignment="1" applyProtection="1">
      <alignment horizontal="right" wrapText="1" indent="1"/>
      <protection hidden="1"/>
    </xf>
    <xf numFmtId="164" fontId="12" fillId="6" borderId="3" xfId="0" applyNumberFormat="1" applyFont="1" applyFill="1" applyBorder="1" applyAlignment="1" applyProtection="1">
      <alignment horizontal="center"/>
      <protection hidden="1"/>
    </xf>
    <xf numFmtId="9" fontId="11" fillId="2" borderId="0" xfId="2" applyFont="1" applyFill="1" applyBorder="1" applyProtection="1">
      <protection hidden="1"/>
    </xf>
    <xf numFmtId="164" fontId="1" fillId="8" borderId="3" xfId="0" applyNumberFormat="1" applyFont="1" applyFill="1" applyBorder="1" applyAlignment="1" applyProtection="1">
      <alignment horizontal="right" vertical="center" wrapText="1"/>
      <protection hidden="1"/>
    </xf>
    <xf numFmtId="0" fontId="14" fillId="8" borderId="1" xfId="0" applyFont="1" applyFill="1" applyBorder="1" applyAlignment="1" applyProtection="1">
      <protection hidden="1"/>
    </xf>
    <xf numFmtId="8" fontId="0" fillId="9" borderId="4" xfId="0" applyNumberFormat="1" applyFill="1" applyBorder="1" applyAlignment="1" applyProtection="1">
      <alignment horizontal="right"/>
      <protection hidden="1"/>
    </xf>
    <xf numFmtId="0" fontId="14" fillId="8" borderId="1" xfId="0" applyFont="1" applyFill="1" applyBorder="1" applyAlignment="1" applyProtection="1">
      <alignment horizontal="left"/>
      <protection hidden="1"/>
    </xf>
    <xf numFmtId="0" fontId="14" fillId="8" borderId="5" xfId="0" applyFont="1" applyFill="1" applyBorder="1" applyAlignment="1" applyProtection="1">
      <alignment horizontal="left"/>
      <protection hidden="1"/>
    </xf>
    <xf numFmtId="0" fontId="1" fillId="8" borderId="6" xfId="0" applyFont="1" applyFill="1" applyBorder="1" applyAlignment="1" applyProtection="1">
      <alignment horizontal="center" vertical="center" wrapText="1"/>
      <protection hidden="1"/>
    </xf>
    <xf numFmtId="0" fontId="11" fillId="10" borderId="0" xfId="0" applyFont="1" applyFill="1" applyProtection="1">
      <protection hidden="1"/>
    </xf>
    <xf numFmtId="0" fontId="11" fillId="11" borderId="0" xfId="0" applyFont="1" applyFill="1" applyProtection="1">
      <protection hidden="1"/>
    </xf>
    <xf numFmtId="0" fontId="11" fillId="12" borderId="0" xfId="0" applyFont="1" applyFill="1" applyProtection="1">
      <protection hidden="1"/>
    </xf>
    <xf numFmtId="0" fontId="11" fillId="13" borderId="0" xfId="0" applyFont="1" applyFill="1" applyProtection="1">
      <protection hidden="1"/>
    </xf>
    <xf numFmtId="0" fontId="11" fillId="14" borderId="0" xfId="0" applyFont="1" applyFill="1" applyProtection="1">
      <protection hidden="1"/>
    </xf>
    <xf numFmtId="0" fontId="11" fillId="15" borderId="0" xfId="0" applyFont="1" applyFill="1" applyProtection="1">
      <protection hidden="1"/>
    </xf>
    <xf numFmtId="0" fontId="11" fillId="3" borderId="0" xfId="0" applyFont="1" applyFill="1" applyProtection="1">
      <protection hidden="1"/>
    </xf>
    <xf numFmtId="0" fontId="13" fillId="5" borderId="25" xfId="0" applyFont="1" applyFill="1" applyBorder="1" applyAlignment="1" applyProtection="1">
      <alignment horizontal="left" wrapText="1"/>
      <protection hidden="1"/>
    </xf>
    <xf numFmtId="0" fontId="1" fillId="4" borderId="3" xfId="0" applyFont="1" applyFill="1" applyBorder="1" applyAlignment="1" applyProtection="1">
      <alignment horizontal="center" vertical="center" wrapText="1"/>
      <protection hidden="1"/>
    </xf>
    <xf numFmtId="0" fontId="15" fillId="8" borderId="7" xfId="0" applyFont="1" applyFill="1" applyBorder="1" applyAlignment="1" applyProtection="1">
      <alignment horizontal="center" vertical="center" wrapText="1"/>
      <protection hidden="1"/>
    </xf>
    <xf numFmtId="0" fontId="16" fillId="8" borderId="8" xfId="0" applyFont="1" applyFill="1" applyBorder="1" applyAlignment="1" applyProtection="1">
      <alignment horizontal="center" vertical="center" wrapText="1"/>
      <protection hidden="1"/>
    </xf>
    <xf numFmtId="0" fontId="17" fillId="16" borderId="9" xfId="0" applyFont="1" applyFill="1" applyBorder="1" applyAlignment="1" applyProtection="1">
      <alignment horizontal="left" vertical="center" wrapText="1"/>
      <protection hidden="1"/>
    </xf>
    <xf numFmtId="0" fontId="17" fillId="16" borderId="10" xfId="0" applyFont="1" applyFill="1" applyBorder="1" applyAlignment="1" applyProtection="1">
      <alignment horizontal="left" vertical="center" wrapText="1"/>
      <protection hidden="1"/>
    </xf>
    <xf numFmtId="0" fontId="17" fillId="16" borderId="11" xfId="0" applyFont="1" applyFill="1" applyBorder="1" applyAlignment="1" applyProtection="1">
      <alignment horizontal="left" vertical="center" wrapText="1"/>
      <protection hidden="1"/>
    </xf>
    <xf numFmtId="0" fontId="17" fillId="11" borderId="12" xfId="0" applyFont="1" applyFill="1" applyBorder="1" applyAlignment="1" applyProtection="1">
      <alignment horizontal="left" vertical="center" wrapText="1"/>
      <protection hidden="1"/>
    </xf>
    <xf numFmtId="0" fontId="17" fillId="11" borderId="10" xfId="0" applyFont="1" applyFill="1" applyBorder="1" applyAlignment="1" applyProtection="1">
      <alignment horizontal="left" vertical="center" wrapText="1"/>
      <protection hidden="1"/>
    </xf>
    <xf numFmtId="0" fontId="17" fillId="11" borderId="11" xfId="0" applyFont="1" applyFill="1" applyBorder="1" applyAlignment="1" applyProtection="1">
      <alignment horizontal="left" vertical="center" wrapText="1"/>
      <protection hidden="1"/>
    </xf>
    <xf numFmtId="0" fontId="16" fillId="17" borderId="12" xfId="0" applyFont="1" applyFill="1" applyBorder="1" applyAlignment="1" applyProtection="1">
      <alignment horizontal="center" vertical="center" wrapText="1"/>
      <protection hidden="1"/>
    </xf>
    <xf numFmtId="0" fontId="16" fillId="17" borderId="11" xfId="0" applyFont="1" applyFill="1" applyBorder="1" applyAlignment="1" applyProtection="1">
      <alignment horizontal="center" vertical="center" wrapText="1"/>
      <protection hidden="1"/>
    </xf>
    <xf numFmtId="0" fontId="17" fillId="17" borderId="13" xfId="0" applyFont="1" applyFill="1" applyBorder="1" applyAlignment="1" applyProtection="1">
      <alignment horizontal="left" vertical="center" wrapText="1"/>
      <protection hidden="1"/>
    </xf>
    <xf numFmtId="0" fontId="16" fillId="18" borderId="8" xfId="0" applyFont="1" applyFill="1" applyBorder="1" applyAlignment="1" applyProtection="1">
      <alignment horizontal="center" vertical="center" wrapText="1"/>
      <protection hidden="1"/>
    </xf>
    <xf numFmtId="0" fontId="17" fillId="18" borderId="13" xfId="0" applyFont="1" applyFill="1" applyBorder="1" applyAlignment="1" applyProtection="1">
      <alignment horizontal="left" vertical="center" wrapText="1"/>
      <protection hidden="1"/>
    </xf>
    <xf numFmtId="0" fontId="16" fillId="19" borderId="8" xfId="0" applyFont="1" applyFill="1" applyBorder="1" applyAlignment="1" applyProtection="1">
      <alignment horizontal="center" vertical="center" wrapText="1"/>
      <protection hidden="1"/>
    </xf>
    <xf numFmtId="0" fontId="17" fillId="19" borderId="9" xfId="0" applyFont="1" applyFill="1" applyBorder="1" applyAlignment="1" applyProtection="1">
      <alignment horizontal="left" vertical="center" wrapText="1"/>
      <protection hidden="1"/>
    </xf>
    <xf numFmtId="0" fontId="17" fillId="19" borderId="13" xfId="0" applyFont="1" applyFill="1" applyBorder="1" applyAlignment="1" applyProtection="1">
      <alignment horizontal="left" vertical="center" wrapText="1"/>
      <protection hidden="1"/>
    </xf>
    <xf numFmtId="0" fontId="15" fillId="0" borderId="0" xfId="0" applyFont="1" applyProtection="1">
      <protection hidden="1"/>
    </xf>
    <xf numFmtId="3" fontId="15" fillId="19" borderId="0" xfId="0" applyNumberFormat="1" applyFont="1" applyFill="1" applyBorder="1" applyAlignment="1" applyProtection="1">
      <alignment horizontal="center" vertical="center"/>
      <protection hidden="1"/>
    </xf>
    <xf numFmtId="164" fontId="1" fillId="8" borderId="4" xfId="0" applyNumberFormat="1" applyFont="1" applyFill="1" applyBorder="1" applyAlignment="1" applyProtection="1">
      <alignment horizontal="right" vertical="center" wrapText="1" indent="1"/>
      <protection hidden="1"/>
    </xf>
    <xf numFmtId="164" fontId="1" fillId="8" borderId="3" xfId="0" applyNumberFormat="1" applyFont="1" applyFill="1" applyBorder="1" applyAlignment="1" applyProtection="1">
      <alignment horizontal="right" vertical="center" wrapText="1" indent="1"/>
      <protection hidden="1"/>
    </xf>
    <xf numFmtId="164" fontId="1" fillId="8" borderId="4" xfId="0" applyNumberFormat="1" applyFont="1" applyFill="1" applyBorder="1" applyAlignment="1" applyProtection="1">
      <alignment horizontal="right" vertical="center" wrapText="1"/>
      <protection hidden="1"/>
    </xf>
    <xf numFmtId="164" fontId="12" fillId="4" borderId="3" xfId="0" applyNumberFormat="1" applyFont="1" applyFill="1" applyBorder="1" applyAlignment="1" applyProtection="1">
      <alignment horizontal="center" vertical="center"/>
      <protection hidden="1"/>
    </xf>
    <xf numFmtId="164" fontId="1" fillId="8" borderId="6" xfId="0" applyNumberFormat="1" applyFont="1" applyFill="1" applyBorder="1" applyAlignment="1" applyProtection="1">
      <alignment horizontal="right" vertical="center" wrapText="1" indent="1"/>
      <protection hidden="1"/>
    </xf>
    <xf numFmtId="4" fontId="1" fillId="7" borderId="5" xfId="0" applyNumberFormat="1" applyFont="1" applyFill="1" applyBorder="1" applyAlignment="1" applyProtection="1">
      <alignment horizontal="center" vertical="center" wrapText="1"/>
      <protection hidden="1"/>
    </xf>
    <xf numFmtId="3" fontId="1" fillId="7" borderId="5" xfId="0" applyNumberFormat="1" applyFont="1" applyFill="1" applyBorder="1" applyAlignment="1" applyProtection="1">
      <alignment horizontal="center" vertical="center" wrapText="1"/>
      <protection hidden="1"/>
    </xf>
    <xf numFmtId="0" fontId="1" fillId="20" borderId="3" xfId="0" applyFont="1" applyFill="1" applyBorder="1" applyAlignment="1" applyProtection="1">
      <alignment horizontal="left" wrapText="1"/>
      <protection hidden="1"/>
    </xf>
    <xf numFmtId="4" fontId="1" fillId="2" borderId="3" xfId="0" applyNumberFormat="1" applyFont="1" applyFill="1" applyBorder="1" applyAlignment="1" applyProtection="1">
      <alignment horizontal="right" wrapText="1" indent="1"/>
      <protection hidden="1"/>
    </xf>
    <xf numFmtId="0" fontId="15" fillId="0" borderId="0" xfId="0" applyFont="1" applyAlignment="1" applyProtection="1">
      <alignment horizontal="center"/>
      <protection hidden="1"/>
    </xf>
    <xf numFmtId="8" fontId="15" fillId="17" borderId="4" xfId="0" applyNumberFormat="1" applyFont="1" applyFill="1" applyBorder="1" applyAlignment="1" applyProtection="1">
      <alignment horizontal="center"/>
      <protection hidden="1"/>
    </xf>
    <xf numFmtId="4" fontId="11" fillId="2" borderId="0" xfId="2" applyNumberFormat="1" applyFont="1" applyFill="1" applyBorder="1" applyProtection="1">
      <protection hidden="1"/>
    </xf>
    <xf numFmtId="164" fontId="11" fillId="2" borderId="0" xfId="2" applyNumberFormat="1" applyFont="1" applyFill="1" applyBorder="1" applyProtection="1">
      <protection hidden="1"/>
    </xf>
    <xf numFmtId="0" fontId="7" fillId="21" borderId="14" xfId="0" applyFont="1" applyFill="1" applyBorder="1" applyAlignment="1" applyProtection="1">
      <protection hidden="1"/>
    </xf>
    <xf numFmtId="9" fontId="11" fillId="22" borderId="3" xfId="2" applyFont="1" applyFill="1" applyBorder="1" applyAlignment="1" applyProtection="1">
      <alignment horizontal="center" vertical="center" wrapText="1"/>
      <protection hidden="1"/>
    </xf>
    <xf numFmtId="0" fontId="1" fillId="4" borderId="15" xfId="0" applyFont="1" applyFill="1" applyBorder="1" applyAlignment="1" applyProtection="1">
      <alignment horizontal="center" wrapText="1"/>
      <protection hidden="1"/>
    </xf>
    <xf numFmtId="0" fontId="11" fillId="4" borderId="16" xfId="0" applyFont="1" applyFill="1" applyBorder="1" applyProtection="1">
      <protection hidden="1"/>
    </xf>
    <xf numFmtId="4" fontId="12" fillId="6" borderId="3" xfId="0" applyNumberFormat="1" applyFont="1" applyFill="1" applyBorder="1" applyAlignment="1" applyProtection="1">
      <alignment horizontal="center"/>
      <protection hidden="1"/>
    </xf>
    <xf numFmtId="0" fontId="1" fillId="4" borderId="2" xfId="0" applyFont="1" applyFill="1" applyBorder="1" applyAlignment="1" applyProtection="1">
      <alignment horizontal="center" wrapText="1"/>
      <protection hidden="1"/>
    </xf>
    <xf numFmtId="0" fontId="11" fillId="2" borderId="2" xfId="0" applyFont="1" applyFill="1" applyBorder="1" applyProtection="1">
      <protection hidden="1"/>
    </xf>
    <xf numFmtId="0" fontId="1" fillId="20" borderId="1" xfId="0" applyFont="1" applyFill="1" applyBorder="1" applyAlignment="1" applyProtection="1">
      <alignment horizontal="left" wrapText="1"/>
      <protection hidden="1"/>
    </xf>
    <xf numFmtId="8" fontId="11" fillId="2" borderId="0" xfId="0" applyNumberFormat="1" applyFont="1" applyFill="1" applyProtection="1">
      <protection hidden="1"/>
    </xf>
    <xf numFmtId="4" fontId="1" fillId="2" borderId="3" xfId="0" applyNumberFormat="1" applyFont="1" applyFill="1" applyBorder="1" applyAlignment="1" applyProtection="1">
      <alignment horizontal="center" wrapText="1"/>
      <protection hidden="1"/>
    </xf>
    <xf numFmtId="0" fontId="11" fillId="2" borderId="0" xfId="0" applyFont="1" applyFill="1" applyAlignment="1" applyProtection="1">
      <alignment vertical="center"/>
      <protection hidden="1"/>
    </xf>
    <xf numFmtId="9" fontId="11" fillId="23" borderId="3" xfId="2" applyFont="1" applyFill="1" applyBorder="1" applyAlignment="1" applyProtection="1">
      <alignment horizontal="center" vertical="center" wrapText="1"/>
      <protection hidden="1"/>
    </xf>
    <xf numFmtId="8" fontId="1" fillId="24" borderId="4" xfId="0" applyNumberFormat="1" applyFont="1" applyFill="1" applyBorder="1" applyAlignment="1" applyProtection="1">
      <alignment horizontal="right" vertical="center" wrapText="1" indent="1"/>
      <protection hidden="1"/>
    </xf>
    <xf numFmtId="8" fontId="12" fillId="25" borderId="3" xfId="0" applyNumberFormat="1" applyFont="1" applyFill="1" applyBorder="1" applyAlignment="1" applyProtection="1">
      <alignment horizontal="center"/>
      <protection hidden="1"/>
    </xf>
    <xf numFmtId="165" fontId="1" fillId="7" borderId="3" xfId="0" applyNumberFormat="1" applyFont="1" applyFill="1" applyBorder="1" applyAlignment="1" applyProtection="1">
      <alignment horizontal="center" vertical="center" wrapText="1"/>
      <protection hidden="1"/>
    </xf>
    <xf numFmtId="4" fontId="1" fillId="7" borderId="3" xfId="0" applyNumberFormat="1" applyFont="1" applyFill="1" applyBorder="1" applyAlignment="1" applyProtection="1">
      <alignment horizontal="center" vertical="center" wrapText="1"/>
      <protection hidden="1"/>
    </xf>
    <xf numFmtId="0" fontId="18" fillId="0" borderId="0" xfId="0" applyFont="1" applyProtection="1">
      <protection hidden="1"/>
    </xf>
    <xf numFmtId="4" fontId="19" fillId="0" borderId="0" xfId="0" applyNumberFormat="1" applyFont="1"/>
    <xf numFmtId="0" fontId="9" fillId="0" borderId="0" xfId="0" applyFont="1" applyAlignment="1" applyProtection="1">
      <alignment wrapText="1"/>
      <protection hidden="1"/>
    </xf>
    <xf numFmtId="0" fontId="18" fillId="0" borderId="0" xfId="0" applyFont="1" applyAlignment="1" applyProtection="1">
      <alignment horizontal="center" vertical="center" wrapText="1"/>
      <protection hidden="1"/>
    </xf>
    <xf numFmtId="0" fontId="9" fillId="0" borderId="0" xfId="0" applyFont="1" applyProtection="1">
      <protection hidden="1"/>
    </xf>
    <xf numFmtId="4" fontId="18" fillId="0" borderId="0" xfId="0" applyNumberFormat="1" applyFont="1" applyProtection="1">
      <protection hidden="1"/>
    </xf>
    <xf numFmtId="0" fontId="18" fillId="2" borderId="0" xfId="0" applyFont="1" applyFill="1" applyProtection="1">
      <protection hidden="1"/>
    </xf>
    <xf numFmtId="8" fontId="18" fillId="0" borderId="0" xfId="0" applyNumberFormat="1" applyFont="1" applyProtection="1">
      <protection hidden="1"/>
    </xf>
    <xf numFmtId="0" fontId="20" fillId="8" borderId="8" xfId="0" applyFont="1" applyFill="1" applyBorder="1" applyAlignment="1" applyProtection="1">
      <alignment horizontal="center" vertical="center" wrapText="1"/>
      <protection hidden="1"/>
    </xf>
    <xf numFmtId="0" fontId="21" fillId="16" borderId="9" xfId="0" applyFont="1" applyFill="1" applyBorder="1" applyAlignment="1" applyProtection="1">
      <alignment horizontal="left" vertical="center" wrapText="1"/>
      <protection hidden="1"/>
    </xf>
    <xf numFmtId="0" fontId="21" fillId="16" borderId="10" xfId="0" applyFont="1" applyFill="1" applyBorder="1" applyAlignment="1" applyProtection="1">
      <alignment horizontal="left" vertical="center" wrapText="1"/>
      <protection hidden="1"/>
    </xf>
    <xf numFmtId="0" fontId="21" fillId="16" borderId="11" xfId="0" applyFont="1" applyFill="1" applyBorder="1" applyAlignment="1" applyProtection="1">
      <alignment horizontal="left" vertical="center" wrapText="1"/>
      <protection hidden="1"/>
    </xf>
    <xf numFmtId="0" fontId="21" fillId="11" borderId="12" xfId="0" applyFont="1" applyFill="1" applyBorder="1" applyAlignment="1" applyProtection="1">
      <alignment horizontal="left" vertical="center" wrapText="1"/>
      <protection hidden="1"/>
    </xf>
    <xf numFmtId="4" fontId="18" fillId="2" borderId="17" xfId="1" applyNumberFormat="1" applyFont="1" applyFill="1" applyBorder="1" applyAlignment="1" applyProtection="1">
      <alignment horizontal="center" vertical="center"/>
      <protection hidden="1"/>
    </xf>
    <xf numFmtId="0" fontId="21" fillId="11" borderId="10" xfId="0" applyFont="1" applyFill="1" applyBorder="1" applyAlignment="1" applyProtection="1">
      <alignment horizontal="left" vertical="center" wrapText="1"/>
      <protection hidden="1"/>
    </xf>
    <xf numFmtId="4" fontId="18" fillId="2" borderId="14" xfId="1" applyNumberFormat="1" applyFont="1" applyFill="1" applyBorder="1" applyAlignment="1" applyProtection="1">
      <alignment horizontal="center"/>
      <protection hidden="1"/>
    </xf>
    <xf numFmtId="0" fontId="21" fillId="11" borderId="11" xfId="0" applyFont="1" applyFill="1" applyBorder="1" applyAlignment="1" applyProtection="1">
      <alignment horizontal="left" vertical="center" wrapText="1"/>
      <protection hidden="1"/>
    </xf>
    <xf numFmtId="0" fontId="20" fillId="17" borderId="12" xfId="0" applyFont="1" applyFill="1" applyBorder="1" applyAlignment="1" applyProtection="1">
      <alignment horizontal="center" vertical="center" wrapText="1"/>
      <protection hidden="1"/>
    </xf>
    <xf numFmtId="0" fontId="20" fillId="17" borderId="11" xfId="0" applyFont="1" applyFill="1" applyBorder="1" applyAlignment="1" applyProtection="1">
      <alignment horizontal="center" vertical="center" wrapText="1"/>
      <protection hidden="1"/>
    </xf>
    <xf numFmtId="0" fontId="21" fillId="17" borderId="13" xfId="0" applyFont="1" applyFill="1" applyBorder="1" applyAlignment="1" applyProtection="1">
      <alignment horizontal="left" vertical="center" wrapText="1"/>
      <protection hidden="1"/>
    </xf>
    <xf numFmtId="0" fontId="20" fillId="18" borderId="8" xfId="0" applyFont="1" applyFill="1" applyBorder="1" applyAlignment="1" applyProtection="1">
      <alignment horizontal="center" vertical="center" wrapText="1"/>
      <protection hidden="1"/>
    </xf>
    <xf numFmtId="0" fontId="21" fillId="18" borderId="13" xfId="0" applyFont="1" applyFill="1" applyBorder="1" applyAlignment="1" applyProtection="1">
      <alignment horizontal="left" vertical="center" wrapText="1"/>
      <protection hidden="1"/>
    </xf>
    <xf numFmtId="0" fontId="20" fillId="19" borderId="8" xfId="0" applyFont="1" applyFill="1" applyBorder="1" applyAlignment="1" applyProtection="1">
      <alignment horizontal="center" vertical="center" wrapText="1"/>
      <protection hidden="1"/>
    </xf>
    <xf numFmtId="0" fontId="21" fillId="19" borderId="9" xfId="0" applyFont="1" applyFill="1" applyBorder="1" applyAlignment="1" applyProtection="1">
      <alignment horizontal="left" vertical="center" wrapText="1"/>
      <protection hidden="1"/>
    </xf>
    <xf numFmtId="0" fontId="21" fillId="19" borderId="13" xfId="0" applyFont="1" applyFill="1" applyBorder="1" applyAlignment="1" applyProtection="1">
      <alignment horizontal="left" vertical="center" wrapText="1"/>
      <protection hidden="1"/>
    </xf>
    <xf numFmtId="9" fontId="18" fillId="0" borderId="0" xfId="0" applyNumberFormat="1" applyFont="1" applyProtection="1">
      <protection hidden="1"/>
    </xf>
    <xf numFmtId="0" fontId="9" fillId="0" borderId="3" xfId="0" applyFont="1" applyBorder="1" applyAlignment="1" applyProtection="1">
      <alignment horizontal="center" vertical="center"/>
      <protection hidden="1"/>
    </xf>
    <xf numFmtId="0" fontId="9" fillId="0" borderId="3" xfId="0" applyFont="1" applyBorder="1" applyAlignment="1" applyProtection="1">
      <alignment horizontal="left" wrapText="1"/>
      <protection hidden="1"/>
    </xf>
    <xf numFmtId="0" fontId="18" fillId="0" borderId="3" xfId="0" applyFont="1" applyBorder="1" applyAlignment="1" applyProtection="1">
      <alignment horizontal="left" vertical="center" wrapText="1"/>
      <protection hidden="1"/>
    </xf>
    <xf numFmtId="0" fontId="18" fillId="0" borderId="3" xfId="0" applyFont="1" applyBorder="1" applyAlignment="1" applyProtection="1">
      <alignment horizontal="left"/>
      <protection hidden="1"/>
    </xf>
    <xf numFmtId="0" fontId="9" fillId="0" borderId="3" xfId="0" applyFont="1" applyBorder="1" applyAlignment="1" applyProtection="1">
      <alignment horizontal="left"/>
      <protection hidden="1"/>
    </xf>
    <xf numFmtId="0" fontId="18" fillId="2" borderId="3" xfId="0" applyFont="1" applyFill="1" applyBorder="1" applyAlignment="1" applyProtection="1">
      <alignment horizontal="center" vertical="center" wrapText="1"/>
      <protection hidden="1"/>
    </xf>
    <xf numFmtId="0" fontId="20" fillId="8" borderId="18" xfId="0" applyFont="1" applyFill="1" applyBorder="1" applyAlignment="1" applyProtection="1">
      <alignment horizontal="center" vertical="center" wrapText="1"/>
      <protection hidden="1"/>
    </xf>
    <xf numFmtId="0" fontId="22" fillId="2" borderId="3" xfId="0" applyFont="1" applyFill="1" applyBorder="1" applyAlignment="1" applyProtection="1">
      <alignment horizontal="center" vertical="center" wrapText="1"/>
      <protection hidden="1"/>
    </xf>
    <xf numFmtId="0" fontId="1" fillId="26" borderId="1" xfId="0" applyFont="1" applyFill="1" applyBorder="1" applyAlignment="1" applyProtection="1">
      <alignment horizontal="left" vertical="center"/>
      <protection hidden="1"/>
    </xf>
    <xf numFmtId="0" fontId="11" fillId="26" borderId="1" xfId="0" applyFont="1" applyFill="1" applyBorder="1" applyAlignment="1" applyProtection="1">
      <alignment horizontal="left" vertical="center"/>
      <protection hidden="1"/>
    </xf>
    <xf numFmtId="0" fontId="1" fillId="26" borderId="19" xfId="0" applyFont="1" applyFill="1" applyBorder="1" applyAlignment="1" applyProtection="1">
      <alignment horizontal="left" vertical="center"/>
      <protection hidden="1"/>
    </xf>
    <xf numFmtId="0" fontId="23" fillId="2" borderId="0" xfId="0" applyFont="1" applyFill="1" applyProtection="1">
      <protection hidden="1"/>
    </xf>
    <xf numFmtId="0" fontId="24" fillId="2" borderId="0" xfId="0" applyFont="1" applyFill="1" applyProtection="1">
      <protection hidden="1"/>
    </xf>
    <xf numFmtId="0" fontId="23" fillId="2" borderId="0" xfId="0" applyFont="1" applyFill="1" applyBorder="1" applyProtection="1">
      <protection hidden="1"/>
    </xf>
    <xf numFmtId="0" fontId="25" fillId="0" borderId="0" xfId="0" applyFont="1" applyProtection="1">
      <protection hidden="1"/>
    </xf>
    <xf numFmtId="8" fontId="1" fillId="24" borderId="3" xfId="0" applyNumberFormat="1" applyFont="1" applyFill="1" applyBorder="1" applyAlignment="1" applyProtection="1">
      <alignment horizontal="right" vertical="center" wrapText="1" indent="1"/>
      <protection hidden="1"/>
    </xf>
    <xf numFmtId="166" fontId="26" fillId="2" borderId="1" xfId="0" applyNumberFormat="1" applyFont="1" applyFill="1" applyBorder="1" applyProtection="1">
      <protection hidden="1"/>
    </xf>
    <xf numFmtId="0" fontId="0" fillId="0" borderId="0" xfId="0" applyProtection="1">
      <protection hidden="1"/>
    </xf>
    <xf numFmtId="0" fontId="29" fillId="0" borderId="0" xfId="0" applyFont="1" applyAlignment="1" applyProtection="1">
      <alignment wrapText="1"/>
      <protection hidden="1"/>
    </xf>
    <xf numFmtId="0" fontId="0" fillId="0" borderId="0" xfId="0" applyAlignment="1" applyProtection="1">
      <alignment horizontal="center" vertical="center" wrapText="1"/>
      <protection hidden="1"/>
    </xf>
    <xf numFmtId="0" fontId="29" fillId="0" borderId="0" xfId="0" applyFont="1" applyAlignment="1" applyProtection="1">
      <alignment horizontal="center" vertical="center" wrapText="1"/>
      <protection hidden="1"/>
    </xf>
    <xf numFmtId="0" fontId="0" fillId="0" borderId="0" xfId="0" applyFont="1" applyAlignment="1" applyProtection="1">
      <alignment horizontal="center" vertical="center" wrapText="1"/>
      <protection hidden="1"/>
    </xf>
    <xf numFmtId="10" fontId="0" fillId="0" borderId="0" xfId="0" applyNumberFormat="1" applyProtection="1">
      <protection hidden="1"/>
    </xf>
    <xf numFmtId="0" fontId="29" fillId="0" borderId="0" xfId="0" applyFont="1" applyProtection="1">
      <protection hidden="1"/>
    </xf>
    <xf numFmtId="2" fontId="0" fillId="9" borderId="0" xfId="0" applyNumberFormat="1" applyFill="1" applyProtection="1">
      <protection hidden="1"/>
    </xf>
    <xf numFmtId="2" fontId="0" fillId="0" borderId="0" xfId="0" applyNumberFormat="1" applyProtection="1">
      <protection hidden="1"/>
    </xf>
    <xf numFmtId="8" fontId="0" fillId="0" borderId="0" xfId="0" applyNumberFormat="1" applyProtection="1">
      <protection hidden="1"/>
    </xf>
    <xf numFmtId="4" fontId="0" fillId="0" borderId="0" xfId="0" applyNumberFormat="1" applyProtection="1">
      <protection hidden="1"/>
    </xf>
    <xf numFmtId="0" fontId="18" fillId="9" borderId="0" xfId="0" applyFont="1" applyFill="1" applyProtection="1">
      <protection hidden="1"/>
    </xf>
    <xf numFmtId="8" fontId="18" fillId="9" borderId="0" xfId="0" applyNumberFormat="1" applyFont="1" applyFill="1" applyProtection="1">
      <protection hidden="1"/>
    </xf>
    <xf numFmtId="0" fontId="0" fillId="2" borderId="0" xfId="0" applyFill="1" applyProtection="1">
      <protection hidden="1"/>
    </xf>
    <xf numFmtId="0" fontId="29" fillId="28" borderId="3" xfId="0" applyFont="1" applyFill="1" applyBorder="1" applyAlignment="1" applyProtection="1">
      <alignment horizontal="center"/>
      <protection hidden="1"/>
    </xf>
    <xf numFmtId="0" fontId="29" fillId="0" borderId="1" xfId="0" applyFont="1" applyFill="1" applyBorder="1" applyAlignment="1" applyProtection="1">
      <alignment vertical="center" wrapText="1"/>
      <protection hidden="1"/>
    </xf>
    <xf numFmtId="0" fontId="0" fillId="0" borderId="2" xfId="0" applyBorder="1" applyProtection="1">
      <protection hidden="1"/>
    </xf>
    <xf numFmtId="4" fontId="0" fillId="29" borderId="3" xfId="0" applyNumberFormat="1" applyFill="1" applyBorder="1" applyProtection="1">
      <protection hidden="1"/>
    </xf>
    <xf numFmtId="0" fontId="29" fillId="0" borderId="3" xfId="0" applyFont="1" applyBorder="1" applyProtection="1">
      <protection hidden="1"/>
    </xf>
    <xf numFmtId="10" fontId="0" fillId="0" borderId="0" xfId="2" applyNumberFormat="1" applyFont="1" applyProtection="1">
      <protection hidden="1"/>
    </xf>
    <xf numFmtId="3" fontId="29" fillId="9" borderId="3" xfId="0" applyNumberFormat="1" applyFont="1" applyFill="1" applyBorder="1" applyAlignment="1" applyProtection="1">
      <alignment horizontal="center"/>
      <protection locked="0"/>
    </xf>
    <xf numFmtId="3" fontId="0" fillId="9" borderId="3" xfId="0" applyNumberFormat="1" applyFill="1" applyBorder="1" applyAlignment="1" applyProtection="1">
      <alignment horizontal="center"/>
      <protection locked="0"/>
    </xf>
    <xf numFmtId="0" fontId="29" fillId="0" borderId="3" xfId="0" applyFont="1" applyBorder="1" applyAlignment="1" applyProtection="1">
      <alignment vertical="center" wrapText="1"/>
      <protection hidden="1"/>
    </xf>
    <xf numFmtId="4" fontId="0" fillId="2" borderId="0" xfId="0" applyNumberFormat="1" applyFill="1" applyProtection="1">
      <protection hidden="1"/>
    </xf>
    <xf numFmtId="0" fontId="0" fillId="0" borderId="3" xfId="0" applyBorder="1" applyProtection="1">
      <protection hidden="1"/>
    </xf>
    <xf numFmtId="0" fontId="29" fillId="0" borderId="1" xfId="0" applyFont="1" applyBorder="1" applyProtection="1">
      <protection hidden="1"/>
    </xf>
    <xf numFmtId="4" fontId="0" fillId="0" borderId="3" xfId="0" applyNumberFormat="1" applyBorder="1" applyProtection="1">
      <protection hidden="1"/>
    </xf>
    <xf numFmtId="4" fontId="0" fillId="2" borderId="3" xfId="0" applyNumberFormat="1" applyFill="1" applyBorder="1" applyProtection="1">
      <protection hidden="1"/>
    </xf>
    <xf numFmtId="0" fontId="33" fillId="0" borderId="1" xfId="0" applyFont="1" applyBorder="1" applyAlignment="1" applyProtection="1">
      <alignment horizontal="center" wrapText="1"/>
      <protection hidden="1"/>
    </xf>
    <xf numFmtId="10" fontId="32" fillId="2" borderId="3" xfId="2" applyNumberFormat="1" applyFont="1" applyFill="1" applyBorder="1" applyAlignment="1" applyProtection="1">
      <alignment horizontal="center"/>
      <protection hidden="1"/>
    </xf>
    <xf numFmtId="0" fontId="11" fillId="2" borderId="3" xfId="0" applyFont="1" applyFill="1" applyBorder="1" applyProtection="1">
      <protection hidden="1"/>
    </xf>
    <xf numFmtId="0" fontId="13" fillId="5" borderId="25" xfId="0" applyFont="1" applyFill="1" applyBorder="1" applyAlignment="1" applyProtection="1">
      <alignment horizontal="left" vertical="center" wrapText="1"/>
      <protection hidden="1"/>
    </xf>
    <xf numFmtId="10" fontId="1" fillId="7" borderId="21" xfId="0" applyNumberFormat="1" applyFont="1" applyFill="1" applyBorder="1" applyAlignment="1" applyProtection="1">
      <alignment horizontal="center" vertical="center" wrapText="1"/>
      <protection hidden="1"/>
    </xf>
    <xf numFmtId="0" fontId="2" fillId="26" borderId="1" xfId="0" applyFont="1" applyFill="1" applyBorder="1" applyAlignment="1" applyProtection="1">
      <alignment horizontal="left" vertical="center"/>
      <protection hidden="1"/>
    </xf>
    <xf numFmtId="9" fontId="11" fillId="17" borderId="3" xfId="2" applyFont="1" applyFill="1" applyBorder="1" applyAlignment="1" applyProtection="1">
      <protection hidden="1"/>
    </xf>
    <xf numFmtId="9" fontId="12" fillId="17" borderId="3" xfId="2" applyFont="1" applyFill="1" applyBorder="1" applyAlignment="1" applyProtection="1">
      <alignment horizontal="center"/>
      <protection hidden="1"/>
    </xf>
    <xf numFmtId="0" fontId="11" fillId="20" borderId="3" xfId="0" applyFont="1" applyFill="1" applyBorder="1" applyProtection="1">
      <protection hidden="1"/>
    </xf>
    <xf numFmtId="0" fontId="2" fillId="20" borderId="3" xfId="0" applyFont="1" applyFill="1" applyBorder="1" applyAlignment="1" applyProtection="1">
      <alignment horizontal="center" wrapText="1"/>
      <protection hidden="1"/>
    </xf>
    <xf numFmtId="4" fontId="34" fillId="0" borderId="0" xfId="0" applyNumberFormat="1" applyFont="1" applyProtection="1">
      <protection hidden="1"/>
    </xf>
    <xf numFmtId="0" fontId="29" fillId="0" borderId="4" xfId="0" applyFont="1" applyBorder="1" applyAlignment="1" applyProtection="1">
      <alignment horizontal="center"/>
      <protection hidden="1"/>
    </xf>
    <xf numFmtId="0" fontId="34" fillId="2" borderId="4" xfId="0" applyFont="1" applyFill="1" applyBorder="1" applyAlignment="1" applyProtection="1">
      <alignment horizontal="center"/>
      <protection hidden="1"/>
    </xf>
    <xf numFmtId="167" fontId="0" fillId="2" borderId="3" xfId="0" applyNumberFormat="1" applyFill="1" applyBorder="1" applyProtection="1">
      <protection hidden="1"/>
    </xf>
    <xf numFmtId="167" fontId="0" fillId="9" borderId="3" xfId="0" applyNumberFormat="1" applyFill="1" applyBorder="1" applyProtection="1">
      <protection hidden="1"/>
    </xf>
    <xf numFmtId="0" fontId="29" fillId="0" borderId="3" xfId="0" applyFont="1" applyBorder="1" applyAlignment="1" applyProtection="1">
      <alignment horizontal="center"/>
      <protection hidden="1"/>
    </xf>
    <xf numFmtId="0" fontId="34" fillId="2" borderId="3" xfId="0" applyFont="1" applyFill="1" applyBorder="1" applyAlignment="1" applyProtection="1">
      <alignment horizontal="center"/>
      <protection hidden="1"/>
    </xf>
    <xf numFmtId="0" fontId="29" fillId="0" borderId="0" xfId="0" applyNumberFormat="1" applyFont="1" applyProtection="1">
      <protection hidden="1"/>
    </xf>
    <xf numFmtId="167" fontId="29" fillId="9" borderId="3" xfId="0" applyNumberFormat="1" applyFont="1" applyFill="1" applyBorder="1" applyProtection="1">
      <protection hidden="1"/>
    </xf>
    <xf numFmtId="0" fontId="29" fillId="9" borderId="3" xfId="0" applyFont="1" applyFill="1" applyBorder="1" applyAlignment="1" applyProtection="1">
      <alignment horizontal="center"/>
      <protection hidden="1"/>
    </xf>
    <xf numFmtId="2" fontId="0" fillId="2" borderId="0" xfId="0" applyNumberFormat="1" applyFill="1" applyProtection="1">
      <protection hidden="1"/>
    </xf>
    <xf numFmtId="168" fontId="0" fillId="0" borderId="0" xfId="0" applyNumberFormat="1" applyProtection="1">
      <protection hidden="1"/>
    </xf>
    <xf numFmtId="9" fontId="0" fillId="0" borderId="0" xfId="0" applyNumberFormat="1" applyProtection="1">
      <protection hidden="1"/>
    </xf>
    <xf numFmtId="164" fontId="11" fillId="2" borderId="3" xfId="2" applyNumberFormat="1" applyFont="1" applyFill="1" applyBorder="1" applyAlignment="1" applyProtection="1">
      <alignment horizontal="left" vertical="center"/>
      <protection hidden="1"/>
    </xf>
    <xf numFmtId="0" fontId="11" fillId="2" borderId="3" xfId="0" applyFont="1" applyFill="1" applyBorder="1" applyAlignment="1" applyProtection="1">
      <alignment horizontal="left"/>
      <protection hidden="1"/>
    </xf>
    <xf numFmtId="0" fontId="11" fillId="2" borderId="3" xfId="0" applyFont="1" applyFill="1" applyBorder="1" applyAlignment="1" applyProtection="1">
      <alignment horizontal="center"/>
      <protection hidden="1"/>
    </xf>
    <xf numFmtId="4" fontId="12" fillId="24" borderId="3" xfId="0" applyNumberFormat="1" applyFont="1" applyFill="1" applyBorder="1" applyAlignment="1" applyProtection="1">
      <alignment horizontal="center"/>
      <protection hidden="1"/>
    </xf>
    <xf numFmtId="0" fontId="29" fillId="8" borderId="3" xfId="0" applyFont="1" applyFill="1" applyBorder="1" applyAlignment="1" applyProtection="1">
      <alignment horizontal="center" vertical="center"/>
      <protection hidden="1"/>
    </xf>
    <xf numFmtId="0" fontId="29" fillId="8" borderId="3" xfId="0" applyFont="1" applyFill="1" applyBorder="1" applyAlignment="1" applyProtection="1">
      <alignment horizontal="center" vertical="center" wrapText="1"/>
      <protection hidden="1"/>
    </xf>
    <xf numFmtId="0" fontId="0" fillId="8" borderId="3" xfId="0" applyFill="1" applyBorder="1" applyAlignment="1" applyProtection="1">
      <alignment horizontal="center" vertical="center" wrapText="1"/>
      <protection hidden="1"/>
    </xf>
    <xf numFmtId="4" fontId="0" fillId="0" borderId="0" xfId="0" applyNumberFormat="1"/>
    <xf numFmtId="0" fontId="11" fillId="9" borderId="3" xfId="0" applyFont="1" applyFill="1" applyBorder="1" applyProtection="1">
      <protection hidden="1"/>
    </xf>
    <xf numFmtId="0" fontId="11" fillId="2" borderId="0" xfId="0" applyFont="1" applyFill="1" applyBorder="1" applyAlignment="1" applyProtection="1">
      <alignment horizontal="center"/>
      <protection hidden="1"/>
    </xf>
    <xf numFmtId="0" fontId="1" fillId="10" borderId="1" xfId="0" applyFont="1" applyFill="1" applyBorder="1" applyAlignment="1" applyProtection="1">
      <alignment horizontal="left" vertical="center"/>
      <protection hidden="1"/>
    </xf>
    <xf numFmtId="0" fontId="25" fillId="2" borderId="3" xfId="0" applyFont="1" applyFill="1" applyBorder="1" applyProtection="1">
      <protection hidden="1"/>
    </xf>
    <xf numFmtId="14" fontId="0" fillId="0" borderId="0" xfId="0" applyNumberFormat="1" applyProtection="1">
      <protection hidden="1"/>
    </xf>
    <xf numFmtId="164" fontId="12" fillId="2" borderId="3" xfId="2" applyNumberFormat="1" applyFont="1" applyFill="1" applyBorder="1" applyAlignment="1" applyProtection="1">
      <alignment horizontal="left" vertical="center"/>
      <protection hidden="1"/>
    </xf>
    <xf numFmtId="0" fontId="12" fillId="2" borderId="3" xfId="0" applyFont="1" applyFill="1" applyBorder="1" applyAlignment="1" applyProtection="1">
      <alignment horizontal="left"/>
      <protection hidden="1"/>
    </xf>
    <xf numFmtId="1" fontId="0" fillId="0" borderId="0" xfId="0" applyNumberFormat="1" applyProtection="1">
      <protection hidden="1"/>
    </xf>
    <xf numFmtId="14" fontId="0" fillId="2" borderId="0" xfId="0" applyNumberFormat="1" applyFill="1" applyProtection="1">
      <protection hidden="1"/>
    </xf>
    <xf numFmtId="0" fontId="0" fillId="2" borderId="0" xfId="0" applyFont="1" applyFill="1" applyProtection="1">
      <protection hidden="1"/>
    </xf>
    <xf numFmtId="14" fontId="0" fillId="2" borderId="0" xfId="0" applyNumberFormat="1" applyFont="1" applyFill="1" applyProtection="1">
      <protection hidden="1"/>
    </xf>
    <xf numFmtId="1" fontId="0" fillId="0" borderId="0" xfId="0" applyNumberFormat="1" applyAlignment="1" applyProtection="1">
      <alignment horizontal="center"/>
      <protection hidden="1"/>
    </xf>
    <xf numFmtId="3" fontId="1" fillId="2" borderId="2" xfId="0" applyNumberFormat="1" applyFont="1" applyFill="1" applyBorder="1" applyAlignment="1" applyProtection="1">
      <alignment horizontal="center" wrapText="1"/>
      <protection hidden="1"/>
    </xf>
    <xf numFmtId="14" fontId="0" fillId="9" borderId="3" xfId="0" applyNumberFormat="1" applyFill="1" applyBorder="1" applyProtection="1">
      <protection locked="0"/>
    </xf>
    <xf numFmtId="0" fontId="0" fillId="31" borderId="3" xfId="0" applyFill="1" applyBorder="1" applyAlignment="1" applyProtection="1">
      <alignment horizontal="center"/>
      <protection hidden="1"/>
    </xf>
    <xf numFmtId="14" fontId="11" fillId="2" borderId="3" xfId="0" applyNumberFormat="1" applyFont="1" applyFill="1" applyBorder="1" applyAlignment="1" applyProtection="1">
      <alignment horizontal="center"/>
      <protection locked="0"/>
    </xf>
    <xf numFmtId="0" fontId="11" fillId="2" borderId="4" xfId="0" applyFont="1" applyFill="1" applyBorder="1" applyAlignment="1" applyProtection="1">
      <alignment horizontal="left" vertical="center"/>
      <protection hidden="1"/>
    </xf>
    <xf numFmtId="0" fontId="11" fillId="2" borderId="4" xfId="0" applyFont="1" applyFill="1" applyBorder="1" applyAlignment="1" applyProtection="1">
      <alignment vertical="center"/>
      <protection hidden="1"/>
    </xf>
    <xf numFmtId="0" fontId="11" fillId="2" borderId="23" xfId="0" applyFont="1" applyFill="1" applyBorder="1" applyProtection="1">
      <protection hidden="1"/>
    </xf>
    <xf numFmtId="0" fontId="11" fillId="2" borderId="1" xfId="0" applyFont="1" applyFill="1" applyBorder="1" applyProtection="1">
      <protection hidden="1"/>
    </xf>
    <xf numFmtId="0" fontId="11" fillId="2" borderId="5" xfId="0" applyFont="1" applyFill="1" applyBorder="1" applyProtection="1">
      <protection hidden="1"/>
    </xf>
    <xf numFmtId="0" fontId="23" fillId="2" borderId="5" xfId="0" applyFont="1" applyFill="1" applyBorder="1" applyProtection="1">
      <protection hidden="1"/>
    </xf>
    <xf numFmtId="0" fontId="1" fillId="9" borderId="1" xfId="0" applyFont="1" applyFill="1" applyBorder="1" applyAlignment="1" applyProtection="1">
      <alignment horizontal="left" vertical="center"/>
      <protection hidden="1"/>
    </xf>
    <xf numFmtId="0" fontId="11" fillId="27" borderId="3" xfId="0" applyFont="1" applyFill="1" applyBorder="1" applyAlignment="1" applyProtection="1">
      <alignment vertical="center" wrapText="1"/>
      <protection hidden="1"/>
    </xf>
    <xf numFmtId="0" fontId="35" fillId="2" borderId="0" xfId="0" applyFont="1" applyFill="1" applyBorder="1" applyAlignment="1" applyProtection="1">
      <alignment vertical="center"/>
      <protection hidden="1"/>
    </xf>
    <xf numFmtId="0" fontId="35" fillId="32" borderId="3" xfId="0" applyFont="1" applyFill="1" applyBorder="1" applyAlignment="1" applyProtection="1">
      <alignment vertical="center"/>
      <protection hidden="1"/>
    </xf>
    <xf numFmtId="0" fontId="1" fillId="33" borderId="1" xfId="0" applyFont="1" applyFill="1" applyBorder="1" applyAlignment="1" applyProtection="1">
      <alignment horizontal="left" vertical="center"/>
      <protection hidden="1"/>
    </xf>
    <xf numFmtId="0" fontId="0" fillId="0" borderId="10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11" fillId="2" borderId="17" xfId="0" applyFont="1" applyFill="1" applyBorder="1" applyAlignment="1" applyProtection="1">
      <alignment horizontal="center" vertical="center"/>
      <protection hidden="1"/>
    </xf>
    <xf numFmtId="0" fontId="11" fillId="2" borderId="29" xfId="0" applyFont="1" applyFill="1" applyBorder="1" applyAlignment="1" applyProtection="1">
      <alignment horizontal="center" vertical="center"/>
      <protection hidden="1"/>
    </xf>
    <xf numFmtId="0" fontId="0" fillId="0" borderId="11" xfId="0" applyBorder="1" applyAlignment="1">
      <alignment horizontal="left" vertical="center" wrapText="1"/>
    </xf>
    <xf numFmtId="0" fontId="11" fillId="2" borderId="32" xfId="0" applyFont="1" applyFill="1" applyBorder="1" applyAlignment="1" applyProtection="1">
      <alignment horizontal="center" vertical="center"/>
      <protection hidden="1"/>
    </xf>
    <xf numFmtId="0" fontId="11" fillId="2" borderId="26" xfId="0" applyFont="1" applyFill="1" applyBorder="1" applyAlignment="1" applyProtection="1">
      <alignment horizontal="center"/>
      <protection hidden="1"/>
    </xf>
    <xf numFmtId="0" fontId="0" fillId="0" borderId="14" xfId="0" applyBorder="1" applyAlignment="1" applyProtection="1">
      <alignment horizontal="center" vertical="center" wrapText="1"/>
      <protection hidden="1"/>
    </xf>
    <xf numFmtId="0" fontId="0" fillId="0" borderId="3" xfId="0" applyBorder="1" applyAlignment="1" applyProtection="1">
      <alignment horizontal="center" vertical="center" wrapText="1"/>
      <protection hidden="1"/>
    </xf>
    <xf numFmtId="0" fontId="0" fillId="0" borderId="29" xfId="0" applyBorder="1" applyAlignment="1" applyProtection="1">
      <alignment horizontal="center" vertical="center" wrapText="1"/>
      <protection hidden="1"/>
    </xf>
    <xf numFmtId="0" fontId="0" fillId="0" borderId="14" xfId="0" applyBorder="1" applyAlignment="1" applyProtection="1">
      <alignment horizontal="center"/>
      <protection hidden="1"/>
    </xf>
    <xf numFmtId="0" fontId="0" fillId="0" borderId="3" xfId="0" applyBorder="1" applyAlignment="1" applyProtection="1">
      <alignment horizontal="center"/>
      <protection hidden="1"/>
    </xf>
    <xf numFmtId="0" fontId="0" fillId="0" borderId="29" xfId="0" applyBorder="1" applyAlignment="1" applyProtection="1">
      <alignment horizontal="center"/>
      <protection hidden="1"/>
    </xf>
    <xf numFmtId="0" fontId="0" fillId="0" borderId="14" xfId="0" applyBorder="1" applyAlignment="1" applyProtection="1">
      <alignment horizontal="center" vertical="center"/>
      <protection hidden="1"/>
    </xf>
    <xf numFmtId="0" fontId="0" fillId="0" borderId="30" xfId="0" applyBorder="1" applyAlignment="1" applyProtection="1">
      <alignment horizontal="center"/>
      <protection hidden="1"/>
    </xf>
    <xf numFmtId="0" fontId="0" fillId="0" borderId="31" xfId="0" applyBorder="1" applyAlignment="1" applyProtection="1">
      <alignment horizontal="center"/>
      <protection hidden="1"/>
    </xf>
    <xf numFmtId="0" fontId="0" fillId="0" borderId="32" xfId="0" applyBorder="1" applyAlignment="1" applyProtection="1">
      <alignment horizontal="center"/>
      <protection hidden="1"/>
    </xf>
    <xf numFmtId="0" fontId="0" fillId="0" borderId="30" xfId="0" applyBorder="1" applyAlignment="1" applyProtection="1">
      <alignment horizontal="center" vertical="center"/>
      <protection hidden="1"/>
    </xf>
    <xf numFmtId="2" fontId="0" fillId="29" borderId="0" xfId="0" applyNumberFormat="1" applyFill="1" applyProtection="1">
      <protection hidden="1"/>
    </xf>
    <xf numFmtId="0" fontId="18" fillId="29" borderId="0" xfId="0" applyFont="1" applyFill="1" applyProtection="1">
      <protection hidden="1"/>
    </xf>
    <xf numFmtId="0" fontId="27" fillId="30" borderId="15" xfId="0" applyFont="1" applyFill="1" applyBorder="1" applyAlignment="1" applyProtection="1">
      <alignment horizontal="center" vertical="center"/>
      <protection hidden="1"/>
    </xf>
    <xf numFmtId="0" fontId="27" fillId="30" borderId="20" xfId="0" applyFont="1" applyFill="1" applyBorder="1" applyAlignment="1" applyProtection="1">
      <alignment horizontal="center" vertical="center"/>
      <protection hidden="1"/>
    </xf>
    <xf numFmtId="0" fontId="27" fillId="30" borderId="16" xfId="0" applyFont="1" applyFill="1" applyBorder="1" applyAlignment="1" applyProtection="1">
      <alignment horizontal="center" vertical="center"/>
      <protection hidden="1"/>
    </xf>
    <xf numFmtId="0" fontId="28" fillId="30" borderId="21" xfId="0" applyFont="1" applyFill="1" applyBorder="1" applyAlignment="1" applyProtection="1">
      <alignment horizontal="center" vertical="center"/>
      <protection hidden="1"/>
    </xf>
    <xf numFmtId="0" fontId="28" fillId="30" borderId="22" xfId="0" applyFont="1" applyFill="1" applyBorder="1" applyAlignment="1" applyProtection="1">
      <alignment horizontal="center" vertical="center"/>
      <protection hidden="1"/>
    </xf>
    <xf numFmtId="0" fontId="28" fillId="30" borderId="23" xfId="0" applyFont="1" applyFill="1" applyBorder="1" applyAlignment="1" applyProtection="1">
      <alignment horizontal="center" vertical="center"/>
      <protection hidden="1"/>
    </xf>
    <xf numFmtId="0" fontId="12" fillId="8" borderId="1" xfId="0" applyFont="1" applyFill="1" applyBorder="1" applyAlignment="1" applyProtection="1">
      <alignment horizontal="center" vertical="center"/>
      <protection hidden="1"/>
    </xf>
    <xf numFmtId="0" fontId="12" fillId="8" borderId="5" xfId="0" applyFont="1" applyFill="1" applyBorder="1" applyAlignment="1" applyProtection="1">
      <alignment horizontal="center" vertical="center"/>
      <protection hidden="1"/>
    </xf>
    <xf numFmtId="0" fontId="12" fillId="8" borderId="2" xfId="0" applyFont="1" applyFill="1" applyBorder="1" applyAlignment="1" applyProtection="1">
      <alignment horizontal="center" vertical="center"/>
      <protection hidden="1"/>
    </xf>
    <xf numFmtId="0" fontId="8" fillId="27" borderId="1" xfId="0" applyFont="1" applyFill="1" applyBorder="1" applyAlignment="1" applyProtection="1">
      <alignment horizontal="left" wrapText="1"/>
      <protection locked="0"/>
    </xf>
    <xf numFmtId="0" fontId="8" fillId="27" borderId="2" xfId="0" applyFont="1" applyFill="1" applyBorder="1" applyAlignment="1" applyProtection="1">
      <alignment horizontal="left" wrapText="1"/>
      <protection locked="0"/>
    </xf>
    <xf numFmtId="1" fontId="2" fillId="2" borderId="1" xfId="0" applyNumberFormat="1" applyFont="1" applyFill="1" applyBorder="1" applyAlignment="1" applyProtection="1">
      <alignment horizontal="center" vertical="center"/>
      <protection locked="0"/>
    </xf>
    <xf numFmtId="1" fontId="2" fillId="2" borderId="2" xfId="0" applyNumberFormat="1" applyFont="1" applyFill="1" applyBorder="1" applyAlignment="1" applyProtection="1">
      <alignment horizontal="center" vertical="center"/>
      <protection locked="0"/>
    </xf>
    <xf numFmtId="0" fontId="12" fillId="2" borderId="1" xfId="0" applyFont="1" applyFill="1" applyBorder="1" applyAlignment="1" applyProtection="1">
      <alignment horizontal="center" vertical="center"/>
      <protection locked="0"/>
    </xf>
    <xf numFmtId="0" fontId="12" fillId="2" borderId="2" xfId="0" applyFont="1" applyFill="1" applyBorder="1" applyAlignment="1" applyProtection="1">
      <alignment horizontal="center" vertical="center"/>
      <protection locked="0"/>
    </xf>
    <xf numFmtId="0" fontId="2" fillId="24" borderId="1" xfId="0" applyFont="1" applyFill="1" applyBorder="1" applyAlignment="1" applyProtection="1">
      <alignment horizontal="center" vertical="center"/>
      <protection locked="0"/>
    </xf>
    <xf numFmtId="0" fontId="2" fillId="24" borderId="2" xfId="0" applyFont="1" applyFill="1" applyBorder="1" applyAlignment="1" applyProtection="1">
      <alignment horizontal="center" vertical="center"/>
      <protection locked="0"/>
    </xf>
    <xf numFmtId="9" fontId="2" fillId="2" borderId="3" xfId="0" applyNumberFormat="1" applyFont="1" applyFill="1" applyBorder="1" applyAlignment="1" applyProtection="1">
      <alignment horizontal="center" vertical="center"/>
      <protection locked="0"/>
    </xf>
    <xf numFmtId="10" fontId="2" fillId="2" borderId="3" xfId="0" applyNumberFormat="1" applyFont="1" applyFill="1" applyBorder="1" applyAlignment="1" applyProtection="1">
      <alignment horizontal="center" vertical="center"/>
      <protection locked="0"/>
    </xf>
    <xf numFmtId="10" fontId="2" fillId="2" borderId="1" xfId="0" applyNumberFormat="1" applyFont="1" applyFill="1" applyBorder="1" applyAlignment="1" applyProtection="1">
      <alignment horizontal="center" vertical="center"/>
      <protection locked="0"/>
    </xf>
    <xf numFmtId="1" fontId="2" fillId="2" borderId="3" xfId="0" applyNumberFormat="1" applyFont="1" applyFill="1" applyBorder="1" applyAlignment="1" applyProtection="1">
      <alignment horizontal="center" vertical="center"/>
      <protection locked="0"/>
    </xf>
    <xf numFmtId="0" fontId="2" fillId="17" borderId="1" xfId="0" applyFont="1" applyFill="1" applyBorder="1" applyAlignment="1" applyProtection="1">
      <alignment horizontal="center" wrapText="1"/>
      <protection hidden="1"/>
    </xf>
    <xf numFmtId="0" fontId="2" fillId="17" borderId="2" xfId="0" applyFont="1" applyFill="1" applyBorder="1" applyAlignment="1" applyProtection="1">
      <alignment horizontal="center" wrapText="1"/>
      <protection hidden="1"/>
    </xf>
    <xf numFmtId="0" fontId="1" fillId="24" borderId="1" xfId="0" applyFont="1" applyFill="1" applyBorder="1" applyAlignment="1" applyProtection="1">
      <alignment horizontal="center" wrapText="1"/>
      <protection hidden="1"/>
    </xf>
    <xf numFmtId="0" fontId="1" fillId="24" borderId="2" xfId="0" applyFont="1" applyFill="1" applyBorder="1" applyAlignment="1" applyProtection="1">
      <alignment horizontal="center" wrapText="1"/>
      <protection hidden="1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11" fillId="24" borderId="3" xfId="0" applyFont="1" applyFill="1" applyBorder="1" applyAlignment="1" applyProtection="1">
      <alignment horizontal="center"/>
      <protection hidden="1"/>
    </xf>
    <xf numFmtId="0" fontId="11" fillId="2" borderId="19" xfId="0" applyFont="1" applyFill="1" applyBorder="1" applyAlignment="1" applyProtection="1">
      <alignment horizontal="center"/>
      <protection hidden="1"/>
    </xf>
    <xf numFmtId="0" fontId="11" fillId="2" borderId="0" xfId="0" applyFont="1" applyFill="1" applyBorder="1" applyAlignment="1" applyProtection="1">
      <alignment horizontal="center"/>
      <protection hidden="1"/>
    </xf>
    <xf numFmtId="0" fontId="11" fillId="9" borderId="1" xfId="0" applyFont="1" applyFill="1" applyBorder="1" applyAlignment="1" applyProtection="1">
      <alignment horizontal="center" vertical="center"/>
      <protection hidden="1"/>
    </xf>
    <xf numFmtId="0" fontId="11" fillId="9" borderId="2" xfId="0" applyFont="1" applyFill="1" applyBorder="1" applyAlignment="1" applyProtection="1">
      <alignment horizontal="center" vertical="center"/>
      <protection hidden="1"/>
    </xf>
    <xf numFmtId="0" fontId="12" fillId="2" borderId="4" xfId="0" applyFont="1" applyFill="1" applyBorder="1" applyAlignment="1" applyProtection="1">
      <alignment horizontal="center" vertical="center"/>
      <protection hidden="1"/>
    </xf>
    <xf numFmtId="0" fontId="36" fillId="2" borderId="1" xfId="0" applyFont="1" applyFill="1" applyBorder="1" applyAlignment="1" applyProtection="1">
      <alignment horizontal="center" vertical="center"/>
      <protection locked="0"/>
    </xf>
    <xf numFmtId="0" fontId="36" fillId="2" borderId="2" xfId="0" applyFont="1" applyFill="1" applyBorder="1" applyAlignment="1" applyProtection="1">
      <alignment horizontal="center" vertical="center"/>
      <protection locked="0"/>
    </xf>
    <xf numFmtId="0" fontId="36" fillId="2" borderId="3" xfId="0" applyFont="1" applyFill="1" applyBorder="1" applyAlignment="1" applyProtection="1">
      <alignment horizontal="center" vertical="center"/>
      <protection locked="0"/>
    </xf>
    <xf numFmtId="14" fontId="2" fillId="9" borderId="1" xfId="0" applyNumberFormat="1" applyFont="1" applyFill="1" applyBorder="1" applyAlignment="1" applyProtection="1">
      <alignment horizontal="center" vertical="center"/>
      <protection locked="0"/>
    </xf>
    <xf numFmtId="0" fontId="2" fillId="9" borderId="2" xfId="0" applyFont="1" applyFill="1" applyBorder="1" applyAlignment="1" applyProtection="1">
      <alignment horizontal="center" vertical="center"/>
      <protection locked="0"/>
    </xf>
    <xf numFmtId="14" fontId="2" fillId="33" borderId="1" xfId="0" applyNumberFormat="1" applyFont="1" applyFill="1" applyBorder="1" applyAlignment="1" applyProtection="1">
      <alignment horizontal="center" vertical="center"/>
      <protection locked="0"/>
    </xf>
    <xf numFmtId="14" fontId="2" fillId="33" borderId="2" xfId="0" applyNumberFormat="1" applyFont="1" applyFill="1" applyBorder="1" applyAlignment="1" applyProtection="1">
      <alignment horizontal="center" vertical="center"/>
      <protection locked="0"/>
    </xf>
    <xf numFmtId="0" fontId="12" fillId="9" borderId="3" xfId="0" applyFont="1" applyFill="1" applyBorder="1" applyAlignment="1" applyProtection="1">
      <alignment horizontal="center" vertical="center" wrapText="1"/>
      <protection hidden="1"/>
    </xf>
    <xf numFmtId="164" fontId="32" fillId="28" borderId="3" xfId="0" applyNumberFormat="1" applyFont="1" applyFill="1" applyBorder="1" applyAlignment="1" applyProtection="1">
      <protection hidden="1"/>
    </xf>
    <xf numFmtId="4" fontId="0" fillId="29" borderId="3" xfId="0" applyNumberFormat="1" applyFill="1" applyBorder="1" applyAlignment="1" applyProtection="1">
      <alignment horizontal="right" vertical="center"/>
      <protection hidden="1"/>
    </xf>
    <xf numFmtId="0" fontId="30" fillId="24" borderId="19" xfId="0" applyFont="1" applyFill="1" applyBorder="1" applyAlignment="1" applyProtection="1">
      <alignment horizontal="center"/>
      <protection hidden="1"/>
    </xf>
    <xf numFmtId="0" fontId="30" fillId="24" borderId="0" xfId="0" applyFont="1" applyFill="1" applyBorder="1" applyAlignment="1" applyProtection="1">
      <alignment horizontal="center"/>
      <protection hidden="1"/>
    </xf>
    <xf numFmtId="0" fontId="31" fillId="9" borderId="3" xfId="0" applyFont="1" applyFill="1" applyBorder="1" applyAlignment="1" applyProtection="1">
      <alignment horizontal="center"/>
      <protection hidden="1"/>
    </xf>
    <xf numFmtId="4" fontId="0" fillId="29" borderId="6" xfId="0" applyNumberFormat="1" applyFill="1" applyBorder="1" applyAlignment="1" applyProtection="1">
      <alignment horizontal="right" vertical="center"/>
      <protection hidden="1"/>
    </xf>
    <xf numFmtId="4" fontId="0" fillId="29" borderId="4" xfId="0" applyNumberFormat="1" applyFill="1" applyBorder="1" applyAlignment="1" applyProtection="1">
      <alignment horizontal="right" vertical="center"/>
      <protection hidden="1"/>
    </xf>
    <xf numFmtId="0" fontId="0" fillId="0" borderId="27" xfId="0" applyBorder="1" applyAlignment="1" applyProtection="1">
      <alignment horizontal="center"/>
      <protection hidden="1"/>
    </xf>
    <xf numFmtId="0" fontId="0" fillId="0" borderId="28" xfId="0" applyBorder="1" applyAlignment="1" applyProtection="1">
      <alignment horizontal="center"/>
      <protection hidden="1"/>
    </xf>
    <xf numFmtId="0" fontId="0" fillId="0" borderId="17" xfId="0" applyBorder="1" applyAlignment="1" applyProtection="1">
      <alignment horizontal="center"/>
      <protection hidden="1"/>
    </xf>
  </cellXfs>
  <cellStyles count="3">
    <cellStyle name="Moneda" xfId="1" builtinId="4"/>
    <cellStyle name="Normal" xfId="0" builtinId="0"/>
    <cellStyle name="Porcentaje" xfId="2" builtinId="5"/>
  </cellStyles>
  <dxfs count="0"/>
  <tableStyles count="0" defaultTableStyle="TableStyleMedium9" defaultPivotStyle="PivotStyleLight16"/>
  <colors>
    <mruColors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DO171"/>
  <sheetViews>
    <sheetView showWhiteSpace="0" zoomScale="95" zoomScaleNormal="95" workbookViewId="0">
      <selection activeCell="B39" sqref="B39:C39"/>
    </sheetView>
  </sheetViews>
  <sheetFormatPr baseColWidth="10" defaultRowHeight="12.95" customHeight="1" x14ac:dyDescent="0.25"/>
  <cols>
    <col min="1" max="1" width="1.85546875" style="1" customWidth="1"/>
    <col min="2" max="2" width="58.85546875" style="1" customWidth="1"/>
    <col min="3" max="3" width="17.5703125" style="1" customWidth="1"/>
    <col min="4" max="4" width="16.7109375" style="1" customWidth="1"/>
    <col min="5" max="5" width="19" style="1" customWidth="1"/>
    <col min="6" max="6" width="11.42578125" style="1" hidden="1" customWidth="1"/>
    <col min="7" max="7" width="24" style="1" customWidth="1"/>
    <col min="8" max="8" width="6.28515625" style="1" customWidth="1"/>
    <col min="9" max="9" width="16.140625" style="1" customWidth="1"/>
    <col min="10" max="10" width="10" style="1" hidden="1" customWidth="1"/>
    <col min="11" max="11" width="25.7109375" style="1" hidden="1" customWidth="1"/>
    <col min="12" max="12" width="54.140625" style="1" hidden="1" customWidth="1"/>
    <col min="13" max="13" width="33.28515625" style="1" hidden="1" customWidth="1"/>
    <col min="14" max="14" width="10.5703125" style="1" hidden="1" customWidth="1"/>
    <col min="15" max="15" width="3.42578125" style="1" hidden="1" customWidth="1"/>
    <col min="16" max="16" width="6.85546875" style="1" hidden="1" customWidth="1"/>
    <col min="17" max="17" width="3.42578125" style="1" hidden="1" customWidth="1"/>
    <col min="18" max="18" width="75.7109375" style="1" hidden="1" customWidth="1"/>
    <col min="19" max="19" width="2.140625" style="1" hidden="1" customWidth="1"/>
    <col min="20" max="20" width="8.42578125" style="1" hidden="1" customWidth="1"/>
    <col min="21" max="24" width="2.28515625" style="1" hidden="1" customWidth="1"/>
    <col min="25" max="26" width="2.28515625" style="3" hidden="1" customWidth="1"/>
    <col min="27" max="34" width="2.28515625" style="1" hidden="1" customWidth="1"/>
    <col min="35" max="35" width="49.28515625" style="113" hidden="1" customWidth="1"/>
    <col min="36" max="36" width="3.42578125" style="1" hidden="1" customWidth="1"/>
    <col min="37" max="68" width="11.42578125" style="1" hidden="1" customWidth="1"/>
    <col min="69" max="69" width="14.7109375" style="1" hidden="1" customWidth="1"/>
    <col min="70" max="70" width="0.140625" style="1" hidden="1" customWidth="1"/>
    <col min="71" max="115" width="0" style="1" hidden="1" customWidth="1"/>
    <col min="116" max="116" width="5.140625" style="1" hidden="1" customWidth="1"/>
    <col min="117" max="117" width="0" style="1" hidden="1" customWidth="1"/>
    <col min="118" max="118" width="17.42578125" style="1" hidden="1" customWidth="1"/>
    <col min="119" max="119" width="4.7109375" style="1" customWidth="1"/>
    <col min="120" max="16384" width="11.42578125" style="1"/>
  </cols>
  <sheetData>
    <row r="1" spans="2:35" s="114" customFormat="1" ht="18" x14ac:dyDescent="0.25">
      <c r="B1" s="225" t="s">
        <v>240</v>
      </c>
      <c r="C1" s="226"/>
      <c r="D1" s="226"/>
      <c r="E1" s="227"/>
      <c r="AI1" s="113"/>
    </row>
    <row r="2" spans="2:35" s="114" customFormat="1" ht="18" x14ac:dyDescent="0.25">
      <c r="B2" s="228" t="s">
        <v>192</v>
      </c>
      <c r="C2" s="229"/>
      <c r="D2" s="229"/>
      <c r="E2" s="230"/>
      <c r="AI2" s="113"/>
    </row>
    <row r="3" spans="2:35" ht="3.75" customHeight="1" x14ac:dyDescent="0.25"/>
    <row r="4" spans="2:35" ht="15" x14ac:dyDescent="0.2">
      <c r="B4" s="110" t="s">
        <v>83</v>
      </c>
      <c r="C4" s="260" t="s">
        <v>122</v>
      </c>
      <c r="D4" s="260"/>
      <c r="E4" s="260"/>
      <c r="F4" s="70"/>
      <c r="G4" s="255" t="s">
        <v>159</v>
      </c>
      <c r="H4" s="256"/>
      <c r="Y4" s="1"/>
      <c r="Z4" s="1"/>
    </row>
    <row r="5" spans="2:35" ht="15.75" hidden="1" x14ac:dyDescent="0.25">
      <c r="B5" s="110" t="s">
        <v>93</v>
      </c>
      <c r="C5" s="257" t="s">
        <v>101</v>
      </c>
      <c r="D5" s="257"/>
      <c r="F5" s="70"/>
      <c r="G5" s="70"/>
      <c r="L5" s="201" t="s">
        <v>140</v>
      </c>
    </row>
    <row r="6" spans="2:35" ht="15" hidden="1" x14ac:dyDescent="0.2">
      <c r="B6" s="110" t="s">
        <v>84</v>
      </c>
      <c r="C6" s="258" t="s">
        <v>96</v>
      </c>
      <c r="D6" s="259"/>
      <c r="F6" s="70"/>
      <c r="G6" s="70"/>
      <c r="L6" s="201"/>
      <c r="Y6" s="1"/>
      <c r="Z6" s="1"/>
    </row>
    <row r="7" spans="2:35" ht="15" hidden="1" x14ac:dyDescent="0.2">
      <c r="B7" s="180" t="s">
        <v>205</v>
      </c>
      <c r="C7" s="250">
        <f>IF(C4="597-Maestros",25,20)</f>
        <v>20</v>
      </c>
      <c r="D7" s="251"/>
      <c r="E7" s="203" t="str">
        <f>IF(AND(C4=AI102,C14=N70,C7&gt;20),"Error en horas",IF(AND(C4=AI96,C7&gt;AJ96),"Error en horas",IF(AND(C4=AI97,C7&gt;AJ97),"Error en horas",IF(AND(C4=AI98,C7&gt;AJ98),"Error en horas",IF(AND(C4=AI99,C7&gt;AJ99),"Error en horas",IF(AND(C4=AI100,C7&gt;AJ100),"Error en horas",IF(AND(C4=AI101,C7&gt;AJ101),"Error en horas"," ")))))))</f>
        <v xml:space="preserve"> </v>
      </c>
      <c r="F7" s="202"/>
      <c r="G7" s="202"/>
      <c r="Y7" s="1"/>
      <c r="Z7" s="1"/>
    </row>
    <row r="8" spans="2:35" ht="15" hidden="1" x14ac:dyDescent="0.2">
      <c r="B8" s="180" t="s">
        <v>222</v>
      </c>
      <c r="C8" s="250">
        <v>30</v>
      </c>
      <c r="D8" s="251"/>
      <c r="F8" s="70"/>
      <c r="G8" s="70"/>
      <c r="Y8" s="1"/>
      <c r="Z8" s="1"/>
    </row>
    <row r="9" spans="2:35" ht="15" x14ac:dyDescent="0.2">
      <c r="B9" s="200" t="s">
        <v>226</v>
      </c>
      <c r="C9" s="261">
        <v>42268</v>
      </c>
      <c r="D9" s="262"/>
      <c r="E9" s="265"/>
      <c r="F9" s="70"/>
      <c r="Y9" s="1"/>
      <c r="Z9" s="1"/>
    </row>
    <row r="10" spans="2:35" ht="15" x14ac:dyDescent="0.2">
      <c r="B10" s="200" t="s">
        <v>225</v>
      </c>
      <c r="C10" s="261">
        <v>42551</v>
      </c>
      <c r="D10" s="262"/>
      <c r="E10" s="265"/>
      <c r="F10" s="70"/>
      <c r="Y10" s="1"/>
      <c r="Z10" s="1"/>
    </row>
    <row r="11" spans="2:35" ht="15" hidden="1" x14ac:dyDescent="0.2">
      <c r="B11" s="204" t="s">
        <v>228</v>
      </c>
      <c r="C11" s="263">
        <v>42614</v>
      </c>
      <c r="D11" s="264"/>
      <c r="E11" s="265"/>
      <c r="F11" s="70"/>
      <c r="Y11" s="1"/>
      <c r="Z11" s="1"/>
    </row>
    <row r="12" spans="2:35" ht="15" hidden="1" x14ac:dyDescent="0.2">
      <c r="B12" s="204" t="s">
        <v>229</v>
      </c>
      <c r="C12" s="263">
        <v>42978</v>
      </c>
      <c r="D12" s="264"/>
      <c r="E12" s="265"/>
      <c r="F12" s="70"/>
      <c r="Y12" s="1"/>
      <c r="Z12" s="1"/>
    </row>
    <row r="13" spans="2:35" ht="15" customHeight="1" x14ac:dyDescent="0.2">
      <c r="B13" s="110" t="s">
        <v>94</v>
      </c>
      <c r="C13" s="236">
        <v>2</v>
      </c>
      <c r="D13" s="237"/>
      <c r="F13" s="70"/>
      <c r="G13" s="70"/>
      <c r="Y13" s="1"/>
      <c r="Z13" s="1"/>
    </row>
    <row r="14" spans="2:35" ht="15" customHeight="1" x14ac:dyDescent="0.2">
      <c r="B14" s="110" t="s">
        <v>85</v>
      </c>
      <c r="C14" s="238" t="s">
        <v>53</v>
      </c>
      <c r="D14" s="239"/>
      <c r="F14" s="70"/>
      <c r="G14" s="70"/>
      <c r="Y14" s="1"/>
      <c r="Z14" s="1"/>
    </row>
    <row r="15" spans="2:35" ht="15" x14ac:dyDescent="0.2">
      <c r="B15" s="111" t="s">
        <v>86</v>
      </c>
      <c r="C15" s="240" t="s">
        <v>59</v>
      </c>
      <c r="D15" s="241"/>
      <c r="E15" s="252" t="s">
        <v>227</v>
      </c>
      <c r="F15" s="252"/>
      <c r="G15" s="252"/>
      <c r="Y15" s="1"/>
      <c r="Z15" s="1"/>
    </row>
    <row r="16" spans="2:35" ht="15" customHeight="1" x14ac:dyDescent="0.2">
      <c r="B16" s="112" t="s">
        <v>87</v>
      </c>
      <c r="C16" s="242" t="s">
        <v>53</v>
      </c>
      <c r="D16" s="242"/>
      <c r="F16" s="70"/>
      <c r="G16" s="70"/>
      <c r="Y16" s="1"/>
      <c r="Z16" s="1"/>
    </row>
    <row r="17" spans="1:119" ht="15" x14ac:dyDescent="0.2">
      <c r="B17" s="152" t="s">
        <v>200</v>
      </c>
      <c r="C17" s="243">
        <f>+'Datos IRPF'!B37</f>
        <v>0.16385177271137</v>
      </c>
      <c r="D17" s="244"/>
      <c r="E17" s="197" t="s">
        <v>230</v>
      </c>
      <c r="F17" s="198"/>
      <c r="G17" s="198"/>
      <c r="H17" s="198"/>
      <c r="I17" s="198"/>
      <c r="J17" s="198"/>
      <c r="K17" s="198"/>
      <c r="L17" s="198"/>
      <c r="M17" s="198"/>
      <c r="N17" s="198"/>
      <c r="O17" s="198"/>
      <c r="P17" s="198"/>
      <c r="Q17" s="198"/>
      <c r="R17" s="198"/>
      <c r="S17" s="198"/>
      <c r="T17" s="198"/>
      <c r="U17" s="198"/>
      <c r="V17" s="198"/>
      <c r="W17" s="198"/>
      <c r="X17" s="198"/>
      <c r="Y17" s="198"/>
      <c r="Z17" s="198"/>
      <c r="AA17" s="198"/>
      <c r="AB17" s="198"/>
      <c r="AC17" s="198"/>
      <c r="AD17" s="198"/>
      <c r="AE17" s="198"/>
      <c r="AF17" s="198"/>
      <c r="AG17" s="198"/>
      <c r="AH17" s="198"/>
      <c r="AI17" s="199"/>
      <c r="AJ17" s="198"/>
      <c r="AK17" s="198"/>
      <c r="AL17" s="198"/>
      <c r="AM17" s="198"/>
      <c r="AN17" s="198"/>
      <c r="AO17" s="198"/>
      <c r="AP17" s="198"/>
      <c r="AQ17" s="198"/>
      <c r="AR17" s="198"/>
      <c r="AS17" s="198"/>
      <c r="AT17" s="198"/>
      <c r="AU17" s="198"/>
      <c r="AV17" s="198"/>
      <c r="AW17" s="198"/>
      <c r="AX17" s="198"/>
      <c r="AY17" s="198"/>
      <c r="AZ17" s="198"/>
      <c r="BA17" s="198"/>
      <c r="BB17" s="198"/>
      <c r="BC17" s="198"/>
      <c r="BD17" s="198"/>
      <c r="BE17" s="198"/>
      <c r="BF17" s="198"/>
      <c r="BG17" s="198"/>
      <c r="BH17" s="198"/>
      <c r="BI17" s="198"/>
      <c r="BJ17" s="198"/>
      <c r="BK17" s="198"/>
      <c r="BL17" s="198"/>
      <c r="BM17" s="198"/>
      <c r="BN17" s="198"/>
      <c r="BO17" s="198"/>
      <c r="BP17" s="198"/>
      <c r="BQ17" s="198"/>
      <c r="BR17" s="198"/>
      <c r="BS17" s="198"/>
      <c r="BT17" s="198"/>
      <c r="BU17" s="198"/>
      <c r="BV17" s="198"/>
      <c r="BW17" s="198"/>
      <c r="BX17" s="198"/>
      <c r="BY17" s="198"/>
      <c r="BZ17" s="198"/>
      <c r="CA17" s="198"/>
      <c r="CB17" s="198"/>
      <c r="CC17" s="198"/>
      <c r="CD17" s="198"/>
      <c r="CE17" s="198"/>
      <c r="CF17" s="198"/>
      <c r="CG17" s="198"/>
      <c r="CH17" s="198"/>
      <c r="CI17" s="198"/>
      <c r="CJ17" s="198"/>
      <c r="CK17" s="198"/>
      <c r="CL17" s="198"/>
      <c r="CM17" s="198"/>
      <c r="CN17" s="198"/>
      <c r="CO17" s="198"/>
      <c r="CP17" s="198"/>
      <c r="CQ17" s="198"/>
      <c r="CR17" s="198"/>
      <c r="CS17" s="198"/>
      <c r="CT17" s="198"/>
      <c r="CU17" s="198"/>
      <c r="CV17" s="198"/>
      <c r="CW17" s="198"/>
      <c r="CX17" s="198"/>
      <c r="CY17" s="198"/>
      <c r="CZ17" s="198"/>
      <c r="DA17" s="198"/>
      <c r="DB17" s="198"/>
      <c r="DC17" s="198"/>
      <c r="DD17" s="198"/>
      <c r="DE17" s="198"/>
      <c r="DF17" s="198"/>
      <c r="DG17" s="198"/>
      <c r="DH17" s="198"/>
      <c r="DI17" s="198"/>
      <c r="DJ17" s="198"/>
      <c r="DK17" s="198"/>
      <c r="DL17" s="66"/>
      <c r="DM17" s="198"/>
      <c r="DN17" s="198"/>
      <c r="DO17" s="66"/>
    </row>
    <row r="18" spans="1:119" ht="15" x14ac:dyDescent="0.2">
      <c r="B18" s="110" t="s">
        <v>143</v>
      </c>
      <c r="C18" s="245">
        <v>0</v>
      </c>
      <c r="D18" s="245"/>
      <c r="E18" s="194" t="s">
        <v>131</v>
      </c>
      <c r="F18" s="195"/>
      <c r="G18" s="195"/>
      <c r="H18" s="196"/>
      <c r="I18" s="196"/>
      <c r="Y18" s="1"/>
      <c r="Z18" s="1"/>
    </row>
    <row r="19" spans="1:119" ht="15" x14ac:dyDescent="0.2">
      <c r="B19" s="4"/>
      <c r="C19" s="4"/>
      <c r="D19" s="4"/>
      <c r="Y19" s="1"/>
      <c r="Z19" s="1"/>
    </row>
    <row r="20" spans="1:119" ht="42.75" customHeight="1" x14ac:dyDescent="0.2">
      <c r="B20" s="2"/>
      <c r="C20" s="19" t="s">
        <v>142</v>
      </c>
      <c r="D20" s="28" t="s">
        <v>61</v>
      </c>
      <c r="E20" s="61" t="str">
        <f>IF(C18&gt;0,"Descuento por Baja (20 primeros días)"," ")</f>
        <v xml:space="preserve"> </v>
      </c>
      <c r="F20" s="71" t="s">
        <v>130</v>
      </c>
      <c r="G20" s="28" t="str">
        <f>IF(C18&gt;0,"Importe Bruto de la nómina con los descuentos por baja"," ")</f>
        <v xml:space="preserve"> </v>
      </c>
      <c r="I20" s="2"/>
      <c r="Y20" s="1"/>
      <c r="Z20" s="1"/>
    </row>
    <row r="21" spans="1:119" ht="15" customHeight="1" x14ac:dyDescent="0.25">
      <c r="A21" s="2"/>
      <c r="B21" s="54" t="s">
        <v>3</v>
      </c>
      <c r="C21" s="52" t="str">
        <f>+M77</f>
        <v>A1</v>
      </c>
      <c r="D21" s="47">
        <f>((((+M78/30)*C8))/M120)*C7</f>
        <v>1120.1500000000001</v>
      </c>
      <c r="E21" s="72" t="str">
        <f>IF(C18&gt;0,(IF(C$18&lt;4,((-D21/30)*C$18)*50%,IF(C$18&lt;21,((-D21/30)*(C$18-3))*25%+(((-D21/30)*3)*50%),(((-D21/30)*3)*50%)+(((-D21/30)*17)*25%))))," ")</f>
        <v xml:space="preserve"> </v>
      </c>
      <c r="G21" s="47" t="str">
        <f>IF(C18&gt;0,+D21+E21," ")</f>
        <v xml:space="preserve"> </v>
      </c>
      <c r="H21" s="2"/>
      <c r="I21" s="2"/>
    </row>
    <row r="22" spans="1:119" ht="15" customHeight="1" x14ac:dyDescent="0.25">
      <c r="A22" s="2"/>
      <c r="B22" s="155" t="str">
        <f>CONCATENATE("Trienios (Gr.",C22,"-",INT(+C13/3),")")</f>
        <v>Trienios (Gr.A1-0)</v>
      </c>
      <c r="C22" s="52" t="str">
        <f>+C21</f>
        <v>A1</v>
      </c>
      <c r="D22" s="48">
        <f>(((((M81*INT($C$13/3))/30)*C8))/M120)*C7</f>
        <v>0</v>
      </c>
      <c r="E22" s="72" t="str">
        <f>IF(C18&gt;0,(IF(C$18&lt;4,((-D22/30)*C$18)*50%,IF(C$18&lt;21,((-D22/30)*(C$18-3))*25%+(((-D22/30)*3)*50%),(((-D22/30)*3)*50%)+(((-D22/30)*17)*25%))))," ")</f>
        <v xml:space="preserve"> </v>
      </c>
      <c r="G22" s="48" t="str">
        <f>IF(C18&gt;0,+D22+E22," ")</f>
        <v xml:space="preserve"> </v>
      </c>
      <c r="H22" s="253"/>
      <c r="I22" s="254"/>
    </row>
    <row r="23" spans="1:119" s="2" customFormat="1" ht="15" customHeight="1" x14ac:dyDescent="0.2">
      <c r="B23" s="54" t="str">
        <f>IF(C16="s","Residencia en isla No Capitalina","Residencia en isla Capitalina")</f>
        <v>Residencia en isla Capitalina</v>
      </c>
      <c r="C23" s="74">
        <f>IF(M89=0," ",+M89)</f>
        <v>4</v>
      </c>
      <c r="D23" s="48">
        <f>(((((IF($C$16="s",M91,M90))/30)*C8))/M120)*C7</f>
        <v>131.57</v>
      </c>
      <c r="E23" s="72" t="str">
        <f>IF(C18&gt;0,(IF(C$18&lt;4,((-D23/30)*C$18)*50%,IF(C$18&lt;21,((-D23/30)*(C$18-3))*25%+(((-D23/30)*3)*50%),(((-D23/30)*3)*50%)+(((-D23/30)*17)*25%))))," ")</f>
        <v xml:space="preserve"> </v>
      </c>
      <c r="F23" s="1"/>
      <c r="G23" s="48" t="str">
        <f>IF(C18&gt;0,+D23+E23," ")</f>
        <v xml:space="preserve"> </v>
      </c>
      <c r="J23" s="1"/>
      <c r="L23" s="1"/>
      <c r="AI23" s="115"/>
    </row>
    <row r="24" spans="1:119" s="2" customFormat="1" ht="15" x14ac:dyDescent="0.2">
      <c r="B24" s="54" t="str">
        <f>IF(C16="s","Trienio en isla No Capitalina"," ")</f>
        <v xml:space="preserve"> </v>
      </c>
      <c r="C24" s="55"/>
      <c r="D24" s="48">
        <f>(((((IF($C$16="s",M92*INT($C$13/3),0))/30)*C8))/M120)*C7</f>
        <v>0</v>
      </c>
      <c r="E24" s="72" t="str">
        <f>IF(C18&gt;0,(IF(C$18&lt;4,((-D24/30)*C$18)*50%,IF(C$18&lt;21,((-D24/30)*(C$18-3))*25%+(((-D24/30)*3)*50%),(((-D24/30)*3)*50%)+(((-D24/30)*17)*25%))))," ")</f>
        <v xml:space="preserve"> </v>
      </c>
      <c r="F24" s="1"/>
      <c r="G24" s="48" t="str">
        <f>IF(C18&gt;0,+D24+E24," ")</f>
        <v xml:space="preserve"> </v>
      </c>
      <c r="J24" s="1"/>
      <c r="L24" s="1"/>
      <c r="AI24" s="115"/>
    </row>
    <row r="25" spans="1:119" s="2" customFormat="1" ht="15" x14ac:dyDescent="0.2">
      <c r="B25" s="67" t="s">
        <v>6</v>
      </c>
      <c r="C25" s="75">
        <f>+M85</f>
        <v>30.786706349206348</v>
      </c>
      <c r="D25" s="48">
        <f>(((((+M86)/30)*C8))/M120)*C7</f>
        <v>620.66</v>
      </c>
      <c r="E25" s="72" t="str">
        <f>IF(C18&gt;0,(IF(C$18&lt;4,((-D25/30)*C$18)*50%,IF(C$18&lt;21,((-D25/30)*(C$18-3))*25%+(((-D25/30)*3)*50%),(((-D25/30)*3)*50%)+(((-D25/30)*17)*25%))))," ")</f>
        <v xml:space="preserve"> </v>
      </c>
      <c r="F25" s="1"/>
      <c r="G25" s="48" t="str">
        <f>IF(C18&gt;0,+D25+E25," ")</f>
        <v xml:space="preserve"> </v>
      </c>
      <c r="J25" s="1"/>
      <c r="L25" s="1"/>
      <c r="AI25" s="115"/>
    </row>
    <row r="26" spans="1:119" s="2" customFormat="1" ht="15" x14ac:dyDescent="0.2">
      <c r="A26" s="1"/>
      <c r="B26" s="54" t="s">
        <v>5</v>
      </c>
      <c r="C26" s="53">
        <f>+M87</f>
        <v>24</v>
      </c>
      <c r="D26" s="48">
        <f>(((((M88)/30)*C8))/M120)*C7</f>
        <v>596.88</v>
      </c>
      <c r="E26" s="72" t="str">
        <f>IF(C18&gt;0,(IF(C$18&lt;4,((-D26/30)*C$18)*50%,IF(C$18&lt;21,((-D26/30)*(C$18-3))*25%+(((-D26/30)*3)*50%),(((-D26/30)*3)*50%)+(((-D26/30)*17)*25%))))," ")</f>
        <v xml:space="preserve"> </v>
      </c>
      <c r="F26" s="1"/>
      <c r="G26" s="48" t="str">
        <f>IF(C18&gt;0,+D26+E26," ")</f>
        <v xml:space="preserve"> </v>
      </c>
      <c r="J26" s="1"/>
      <c r="L26" s="1"/>
      <c r="AI26" s="115"/>
    </row>
    <row r="27" spans="1:119" s="2" customFormat="1" ht="15" x14ac:dyDescent="0.2">
      <c r="A27" s="1"/>
      <c r="B27" s="67" t="str">
        <f>IF($C$14="s","Complemento nivelador maestros 1º y 2º ESO"," ")</f>
        <v xml:space="preserve"> </v>
      </c>
      <c r="C27" s="55"/>
      <c r="D27" s="48">
        <f>(((((IF(AND($C$14="s",C4=AI102),T123,0))/30)*C8))/M120)*C7</f>
        <v>0</v>
      </c>
      <c r="E27" s="72" t="str">
        <f>IF(C18&gt;0,(IF(C$18&lt;4,((-D27/30)*C$18)*50%,IF(C$18&lt;21,((-D27/30)*(C$18-3))*25%+(((-D27/30)*3)*50%),(((-D27/30)*3)*50%)+(((-D27/30)*17)*25%))))," ")</f>
        <v xml:space="preserve"> </v>
      </c>
      <c r="F27" s="1"/>
      <c r="G27" s="48" t="str">
        <f>IF(C18&gt;0,+D27+E27," ")</f>
        <v xml:space="preserve"> </v>
      </c>
      <c r="J27" s="1"/>
      <c r="L27" s="1"/>
      <c r="AI27" s="115"/>
    </row>
    <row r="28" spans="1:119" s="2" customFormat="1" ht="15" hidden="1" x14ac:dyDescent="0.2">
      <c r="A28" s="1"/>
      <c r="B28" s="67" t="s">
        <v>88</v>
      </c>
      <c r="C28" s="55"/>
      <c r="D28" s="48"/>
      <c r="E28" s="72">
        <f t="shared" ref="E28:E33" si="0">IF(C$18&lt;4,((-D28/30)*C$18)*50%,IF(C$18&lt;21,((-D28/30)*(C$18-3))*25%+(((-D28/30)*3)*50%),(((-D28/30)*3)*50%)+(((-D28/30)*17)*25%)))</f>
        <v>0</v>
      </c>
      <c r="F28" s="118">
        <f>IF(C13&gt;5,M98,0)</f>
        <v>0</v>
      </c>
      <c r="G28" s="48">
        <f t="shared" ref="G28:G33" si="1">+D28+E28</f>
        <v>0</v>
      </c>
      <c r="J28" s="1"/>
      <c r="L28" s="1"/>
      <c r="AI28" s="115"/>
    </row>
    <row r="29" spans="1:119" s="2" customFormat="1" ht="15" hidden="1" x14ac:dyDescent="0.2">
      <c r="A29" s="1"/>
      <c r="B29" s="67" t="s">
        <v>89</v>
      </c>
      <c r="C29" s="55"/>
      <c r="D29" s="48"/>
      <c r="E29" s="72">
        <f t="shared" si="0"/>
        <v>0</v>
      </c>
      <c r="F29" s="118">
        <f>IF(C13&gt;11,M99,0)</f>
        <v>0</v>
      </c>
      <c r="G29" s="48">
        <f t="shared" si="1"/>
        <v>0</v>
      </c>
      <c r="J29" s="1"/>
      <c r="L29" s="1"/>
      <c r="AI29" s="115"/>
    </row>
    <row r="30" spans="1:119" s="2" customFormat="1" ht="15" hidden="1" x14ac:dyDescent="0.2">
      <c r="A30" s="1"/>
      <c r="B30" s="67" t="s">
        <v>90</v>
      </c>
      <c r="C30" s="55"/>
      <c r="D30" s="48"/>
      <c r="E30" s="72">
        <f t="shared" si="0"/>
        <v>0</v>
      </c>
      <c r="F30" s="118">
        <f>IF(C13&gt;17,M100,0)</f>
        <v>0</v>
      </c>
      <c r="G30" s="48">
        <f t="shared" si="1"/>
        <v>0</v>
      </c>
      <c r="J30" s="1"/>
      <c r="L30" s="1"/>
      <c r="AI30" s="115"/>
    </row>
    <row r="31" spans="1:119" s="2" customFormat="1" ht="15" hidden="1" x14ac:dyDescent="0.2">
      <c r="A31" s="1"/>
      <c r="B31" s="67" t="s">
        <v>91</v>
      </c>
      <c r="C31" s="55"/>
      <c r="D31" s="48"/>
      <c r="E31" s="72">
        <f t="shared" si="0"/>
        <v>0</v>
      </c>
      <c r="F31" s="118">
        <f>IF(C13&gt;23,M101,0)</f>
        <v>0</v>
      </c>
      <c r="G31" s="48">
        <f t="shared" si="1"/>
        <v>0</v>
      </c>
      <c r="J31" s="1"/>
      <c r="L31" s="1"/>
      <c r="AI31" s="115"/>
    </row>
    <row r="32" spans="1:119" ht="15.75" hidden="1" x14ac:dyDescent="0.25">
      <c r="B32" s="67" t="s">
        <v>92</v>
      </c>
      <c r="C32" s="55"/>
      <c r="D32" s="48"/>
      <c r="E32" s="72">
        <f t="shared" si="0"/>
        <v>0</v>
      </c>
      <c r="F32" s="118">
        <f>IF(C13&gt;29,M102,0)</f>
        <v>0</v>
      </c>
      <c r="G32" s="48">
        <f t="shared" si="1"/>
        <v>0</v>
      </c>
      <c r="H32" s="2"/>
      <c r="I32" s="2"/>
    </row>
    <row r="33" spans="2:9" ht="15" hidden="1" customHeight="1" x14ac:dyDescent="0.25">
      <c r="B33" s="67" t="s">
        <v>95</v>
      </c>
      <c r="C33" s="55"/>
      <c r="D33" s="48"/>
      <c r="E33" s="72">
        <f t="shared" si="0"/>
        <v>0</v>
      </c>
      <c r="G33" s="48">
        <f t="shared" si="1"/>
        <v>0</v>
      </c>
      <c r="H33" s="2"/>
      <c r="I33" s="2"/>
    </row>
    <row r="34" spans="2:9" ht="15" customHeight="1" x14ac:dyDescent="0.25">
      <c r="B34" s="54" t="str">
        <f>IF($C$15="junio","Paga extra Junio, Sueldo Base",IF($C$15="diciembre","Paga extra Diciembre, Sueldo Base",IF($C$15="agosto","Paga extra Agosto, Sueldo Base"," ")))</f>
        <v>Paga extra Junio, Sueldo Base</v>
      </c>
      <c r="C34" s="55"/>
      <c r="D34" s="48">
        <f>(((((IF($C$15="junio",(M79/'Datos IRPF'!F40)*'Datos IRPF'!G40,IF($C$15="diciembre",(M79/'Datos IRPF'!F44)*'Datos IRPF'!G44,IF($C$15="agosto",(M79/'Datos IRPF'!F42)*'Datos IRPF'!G42,0))))/30)*C8))/M120)*C7</f>
        <v>804.5231147540984</v>
      </c>
      <c r="E34" s="72" t="str">
        <f>IF(C18&gt;0,(IF(C$18&lt;4,((-D34/30)*C$18)*50%,IF(C$18&lt;21,((-D34/30)*(C$18-3))*25%+(((-D34/30)*3)*50%),(((-D34/30)*3)*50%)+(((-D34/30)*17)*25%))))," ")</f>
        <v xml:space="preserve"> </v>
      </c>
      <c r="G34" s="48" t="str">
        <f>IF(C18&gt;0,+D34+E34," ")</f>
        <v xml:space="preserve"> </v>
      </c>
      <c r="H34" s="2" t="str">
        <f>IF(AND(C15="Agosto",D34&gt;0),"Abono de la parte proporcional de paga extra de diciembre"," ")</f>
        <v xml:space="preserve"> </v>
      </c>
      <c r="I34"/>
    </row>
    <row r="35" spans="2:9" ht="15" customHeight="1" x14ac:dyDescent="0.25">
      <c r="B35" s="54" t="str">
        <f>IF($C$15="junio","Paga extra Junio, Trienios",IF($C$15="diciembre","Paga extra Diciembre, Trienios",IF($C$15="agosto","Paga extra Agosto, Trienios"," ")))</f>
        <v>Paga extra Junio, Trienios</v>
      </c>
      <c r="C35" s="55"/>
      <c r="D35" s="48">
        <f>(((((IF($C$15="junio",((M82*INT($C$13/3))/'Datos IRPF'!F40)*'Datos IRPF'!G40,IF($C$15="diciembre",((M83*INT($C$13/3))/'Datos IRPF'!F44)*'Datos IRPF'!G44,IF($C$15="agosto",((M83*INT($C$13/3))/'Datos IRPF'!F42)*'Datos IRPF'!G42,0))))/30)*C8))/M120)*C7</f>
        <v>0</v>
      </c>
      <c r="E35" s="72" t="str">
        <f>IF(C18&gt;0,(IF(C$18&lt;4,((-D35/30)*C$18)*50%,IF(C$18&lt;21,((-D35/30)*(C$18-3))*25%+(((-D35/30)*3)*50%),(((-D35/30)*3)*50%)+(((-D35/30)*17)*25%))))," ")</f>
        <v xml:space="preserve"> </v>
      </c>
      <c r="G35" s="48" t="str">
        <f>IF(C18&gt;0,+D35+E35," ")</f>
        <v xml:space="preserve"> </v>
      </c>
      <c r="H35" s="2" t="str">
        <f>IF(AND(C15="Agosto",D35&gt;0),"Abono de la parte proporcional de paga extra de diciembre"," ")</f>
        <v xml:space="preserve"> </v>
      </c>
      <c r="I35" s="2"/>
    </row>
    <row r="36" spans="2:9" ht="15" customHeight="1" x14ac:dyDescent="0.25">
      <c r="B36" s="54" t="str">
        <f>IF($C$15="junio","Paga extra Junio, Complemento Destino",IF($C$15="diciembre","Paga extra Diciembre, Complemento Destino",IF($C$15="agosto","Paga extra Agosto, Complemento Destino"," ")))</f>
        <v>Paga extra Junio, Complemento Destino</v>
      </c>
      <c r="C36" s="55"/>
      <c r="D36" s="48">
        <f>(((((IF($C$15="junio",(M88/'Datos IRPF'!F40)*'Datos IRPF'!G40,IF($C$15="diciembre",(M88/'Datos IRPF'!F44)*'Datos IRPF'!G44,IF($C$15="agosto",((M88)/'Datos IRPF'!F42)*'Datos IRPF'!G42,0))))/30)*C8))/M120)*C7</f>
        <v>694.72918032786879</v>
      </c>
      <c r="E36" s="72" t="str">
        <f>IF(C18&gt;0,(IF(C$18&lt;4,((-D36/30)*C$18)*50%,IF(C$18&lt;21,((-D36/30)*(C$18-3))*25%+(((-D36/30)*3)*50%),(((-D36/30)*3)*50%)+(((-D36/30)*17)*25%))))," ")</f>
        <v xml:space="preserve"> </v>
      </c>
      <c r="G36" s="48" t="str">
        <f>IF(C18&gt;0,+D36+E36," ")</f>
        <v xml:space="preserve"> </v>
      </c>
      <c r="H36" s="2" t="str">
        <f>IF(AND(C15="Agosto",D36&gt;0),"Abono de la parte proporcional de paga extra de diciembre"," ")</f>
        <v xml:space="preserve"> </v>
      </c>
      <c r="I36" s="2"/>
    </row>
    <row r="37" spans="2:9" ht="15" customHeight="1" x14ac:dyDescent="0.25">
      <c r="B37" s="54" t="str">
        <f>IF($C$15="junio","Paga extra Junio, Complemento Específico",IF($C$15="diciembre","Paga extra Diciembre, Complemento Específico",IF($C$15="Agosto","Paga extra Agosto, Complemento Específico"," ")))</f>
        <v>Paga extra Junio, Complemento Específico</v>
      </c>
      <c r="C37" s="55"/>
      <c r="D37" s="48">
        <f>(((((IF($C$14="s",IF($C$15="junio",(((M86+T123)*78%)/'Datos IRPF'!F41)*'Datos IRPF'!G41,IF($C$15="diciembre",(((M86+T123)*78%)/'Datos IRPF'!F45)*'Datos IRPF'!G45,IF($C$15="agosto",(((M86+T123)*78%)/'Datos IRPF'!F43)*'Datos IRPF'!G43,0))),IF($C$14="n",IF($C$15="junio",(((M86)*78%)/'Datos IRPF'!F41)*'Datos IRPF'!G41,IF($C$15="diciembre",(((M86)*78%)/'Datos IRPF'!F45)*'Datos IRPF'!G45,IF($C$15="agosto",(((M86)*78%)/'Datos IRPF'!F43)*'Datos IRPF'!G43,0))))))/30)*C8))/M120)*C7</f>
        <v>484.11480000000006</v>
      </c>
      <c r="E37" s="72" t="str">
        <f>IF(C18&gt;0,(IF(C$18&lt;4,((-D37/30)*C$18)*50%,IF(C$18&lt;21,((-D37/30)*(C$18-3))*25%+(((-D37/30)*3)*50%),(((-D37/30)*3)*50%)+(((-D37/30)*17)*25%))))," ")</f>
        <v xml:space="preserve"> </v>
      </c>
      <c r="G37" s="48" t="str">
        <f>IF(C18&gt;0,+D37+E37," ")</f>
        <v xml:space="preserve"> </v>
      </c>
      <c r="H37" s="2" t="str">
        <f>IF(AND(C15="Agosto",D37&gt;0),"Abono de la parte proporcional de paga extra de diciembre"," ")</f>
        <v xml:space="preserve"> </v>
      </c>
      <c r="I37" s="2"/>
    </row>
    <row r="38" spans="2:9" ht="15" customHeight="1" x14ac:dyDescent="0.25">
      <c r="B38" s="54" t="str">
        <f>IF(C15="Junio","Parte proporcional de Vacaciones"," ")</f>
        <v>Parte proporcional de Vacaciones</v>
      </c>
      <c r="C38" s="190">
        <f>IF(C15="Junio",+ROUND(+((IF('Datos IRPF'!B41='Datos IRPF'!K43-1,'Datos IRPF'!B41-'Datos IRPF'!B40,0))*30)/365,0)," ")</f>
        <v>23</v>
      </c>
      <c r="D38" s="48">
        <f>IF(C15="Junio", ((+D21+D22+D23+D24+D25+D26+D27)/C8)*C38,0)</f>
        <v>1893.0993333333333</v>
      </c>
      <c r="E38" s="72"/>
      <c r="G38" s="48"/>
      <c r="H38" s="2"/>
      <c r="I38" s="2"/>
    </row>
    <row r="39" spans="2:9" ht="15" customHeight="1" x14ac:dyDescent="0.25">
      <c r="B39" s="234" t="s">
        <v>54</v>
      </c>
      <c r="C39" s="235"/>
      <c r="D39" s="48">
        <f>(((((IF(B39=R71,T71,IF(B39=R72,T72,IF(B39=R73,T73,IF(B39=R74,T74,IF(B39=R75,T75,IF(B39=R76,T76,IF(B39=R77,T77,IF(B39=R78,T78,W126)))))))))/30)*C8))/M120)*C7</f>
        <v>0</v>
      </c>
      <c r="E39" s="72" t="str">
        <f>IF(C18&gt;0,(IF(C$18&lt;4,((-D39/30)*C$18)*50%,IF(C$18&lt;21,((-D39/30)*(C$18-3))*25%+(((-D39/30)*3)*50%),(((-D39/30)*3)*50%)+(((-D39/30)*17)*25%))))," ")</f>
        <v xml:space="preserve"> </v>
      </c>
      <c r="G39" s="48" t="str">
        <f>IF(C18&gt;0,+D39+E39," ")</f>
        <v xml:space="preserve"> </v>
      </c>
      <c r="H39" s="2"/>
      <c r="I39" s="2"/>
    </row>
    <row r="40" spans="2:9" ht="15" customHeight="1" x14ac:dyDescent="0.25">
      <c r="B40" s="234" t="s">
        <v>54</v>
      </c>
      <c r="C40" s="235"/>
      <c r="D40" s="51">
        <f>(((((IF(B40=R71,T71,IF(B40=R72,T72,IF(B40=R73,T73,IF(B40=R74,T74,IF(B40=R75,T75,IF(B40=R76,T76,IF(B40=R77,T77,IF(B40=R78,T78,W127)))))))))/30)*C8))/M120)*C7</f>
        <v>0</v>
      </c>
      <c r="E40" s="72" t="str">
        <f>IF(C18&gt;0,(IF(C$18&lt;4,((-D40/30)*C$18)*50%,IF(C$18&lt;21,((-D40/30)*(C$18-3))*25%+(((-D40/30)*3)*50%),(((-D40/30)*3)*50%)+(((-D40/30)*17)*25%))))," ")</f>
        <v xml:space="preserve"> </v>
      </c>
      <c r="G40" s="51" t="str">
        <f>IF(C18&gt;0,+D40+E40," ")</f>
        <v xml:space="preserve"> </v>
      </c>
      <c r="H40" s="2"/>
      <c r="I40" s="2"/>
    </row>
    <row r="41" spans="2:9" ht="15" customHeight="1" x14ac:dyDescent="0.25">
      <c r="B41" s="6" t="s">
        <v>56</v>
      </c>
      <c r="C41" s="7"/>
      <c r="D41" s="8">
        <f>SUM(D21:D40)</f>
        <v>6345.7264284153016</v>
      </c>
      <c r="E41" s="73" t="str">
        <f>IF(C18&gt;0,SUM(E21:E40)," ")</f>
        <v xml:space="preserve"> </v>
      </c>
      <c r="G41" s="8" t="str">
        <f>IF(C18&gt;0,SUM(G21:G40)," ")</f>
        <v xml:space="preserve"> </v>
      </c>
      <c r="H41" s="2"/>
      <c r="I41" s="2"/>
    </row>
    <row r="42" spans="2:9" ht="8.25" customHeight="1" x14ac:dyDescent="0.25">
      <c r="B42" s="13"/>
      <c r="C42" s="13"/>
      <c r="D42" s="13"/>
      <c r="E42" s="13"/>
      <c r="H42" s="2"/>
      <c r="I42" s="2"/>
    </row>
    <row r="43" spans="2:9" ht="15" customHeight="1" x14ac:dyDescent="0.25">
      <c r="B43" s="156" t="s">
        <v>65</v>
      </c>
      <c r="C43" s="246" t="s">
        <v>190</v>
      </c>
      <c r="D43" s="247"/>
      <c r="F43" s="153"/>
      <c r="G43" s="154" t="s">
        <v>191</v>
      </c>
    </row>
    <row r="44" spans="2:9" ht="15" customHeight="1" x14ac:dyDescent="0.25">
      <c r="B44" s="9" t="s">
        <v>129</v>
      </c>
      <c r="C44" s="5"/>
      <c r="D44" s="14">
        <v>-6</v>
      </c>
      <c r="F44" s="149"/>
      <c r="G44" s="149"/>
    </row>
    <row r="45" spans="2:9" ht="15" customHeight="1" x14ac:dyDescent="0.25">
      <c r="B45" s="27" t="str">
        <f>IF(C6=AI70,"Derechos Pasivos",IF(C6=AI71,"Contingencias Comunes: 4,7% y 23,6%",IF(C6=AI72,"Contingencias Comunes: 4,7% y 23,6%"," ")))</f>
        <v>Contingencias Comunes: 4,7% y 23,6%</v>
      </c>
      <c r="C45" s="69" t="str">
        <f>IF(C6=AI70," ",IF(C6=AI71,"4,7%",IF(C6=AI72,"4,7%"," ")))</f>
        <v>4,7%</v>
      </c>
      <c r="D45" s="14">
        <f>IF(C6=AI70,M115,IF(C6=AI71,-D57*4.7%,IF(C6=AI72,-D57*4.7%," ")))</f>
        <v>-129.93749093333335</v>
      </c>
      <c r="F45" s="149"/>
      <c r="G45" s="149">
        <f>IF(C6="interino",ROUND(-D57*23.6%,2)," ")</f>
        <v>-652.45000000000005</v>
      </c>
    </row>
    <row r="46" spans="2:9" ht="15" customHeight="1" x14ac:dyDescent="0.25">
      <c r="B46" s="9" t="str">
        <f>IF(C6=AI70,"MUFACE",IF(C6=AI71,"MUFACE",IF(C6=AI72,"Cuota Desempleo: 1,55% y 5,50%"," ")))</f>
        <v>Cuota Desempleo: 1,55% y 5,50%</v>
      </c>
      <c r="C46" s="69" t="str">
        <f>IF(C6=AI70," ",IF(C6=AI71," ",IF(C6=AI72,"1,55%"," ")))</f>
        <v>1,55%</v>
      </c>
      <c r="D46" s="14">
        <f>IF(C6="interino",-D57*1.55%,M116)</f>
        <v>-42.851725733333332</v>
      </c>
      <c r="F46" s="149"/>
      <c r="G46" s="149">
        <f>IF(C6="interino",ROUND(-D57*5.5%,2)," ")</f>
        <v>-152.05000000000001</v>
      </c>
    </row>
    <row r="47" spans="2:9" ht="15" customHeight="1" x14ac:dyDescent="0.25">
      <c r="B47" s="9" t="str">
        <f>IF(C6=AI70," ",IF(C6=AI71,"Coeficiente Reductor: 0,009 y 0,046",IF(C6=AI72,"Cuota Formación Profesional: 0,10% y 0,60%"," ")))</f>
        <v>Cuota Formación Profesional: 0,10% y 0,60%</v>
      </c>
      <c r="C47" s="69" t="str">
        <f>IF(C6=AI70," ",IF(C6=AI71,"0,009 ",IF(C6=AI72,"0,10%"," ")))</f>
        <v>0,10%</v>
      </c>
      <c r="D47" s="14">
        <f>IF(C6="interino",-D57*0.1%,IF(C6=AI71,C47*-D45,M117))</f>
        <v>-2.764627466666667</v>
      </c>
      <c r="F47" s="149"/>
      <c r="G47" s="149">
        <f>IF(C6="interino",ROUND(-D57*0.6%,2)," ")</f>
        <v>-16.59</v>
      </c>
    </row>
    <row r="48" spans="2:9" ht="15" customHeight="1" x14ac:dyDescent="0.25">
      <c r="B48" s="150" t="s">
        <v>62</v>
      </c>
      <c r="C48" s="151">
        <f>+C$17</f>
        <v>0.16385177271137</v>
      </c>
      <c r="D48" s="49">
        <f>-(+D41)*C48</f>
        <v>-1039.7585244372376</v>
      </c>
      <c r="E48" s="117" t="str">
        <f>IF(C18&gt;0,-E41*C48," ")</f>
        <v xml:space="preserve"> </v>
      </c>
      <c r="F48" s="2"/>
      <c r="G48" s="149"/>
    </row>
    <row r="49" spans="1:30" ht="4.5" customHeight="1" x14ac:dyDescent="0.25">
      <c r="A49" s="2"/>
      <c r="B49" s="2"/>
      <c r="C49" s="2"/>
      <c r="D49" s="2"/>
      <c r="E49" s="2"/>
      <c r="F49" s="2"/>
      <c r="G49" s="2"/>
    </row>
    <row r="50" spans="1:30" ht="15" customHeight="1" x14ac:dyDescent="0.25">
      <c r="B50" s="6" t="s">
        <v>57</v>
      </c>
      <c r="C50" s="7"/>
      <c r="D50" s="50">
        <f>SUM(D44:D48)</f>
        <v>-1221.3123685705709</v>
      </c>
    </row>
    <row r="51" spans="1:30" ht="4.5" customHeight="1" x14ac:dyDescent="0.25">
      <c r="D51" s="2"/>
      <c r="E51" s="13"/>
    </row>
    <row r="52" spans="1:30" ht="15" customHeight="1" x14ac:dyDescent="0.25">
      <c r="B52" s="10" t="s">
        <v>82</v>
      </c>
      <c r="C52" s="11"/>
      <c r="D52" s="12">
        <f>+D41+D50</f>
        <v>5124.4140598447302</v>
      </c>
      <c r="G52" s="12" t="str">
        <f>IF(C18&gt;0,G41+D45+D46+D47+D44+D48+E48," ")</f>
        <v xml:space="preserve"> </v>
      </c>
    </row>
    <row r="53" spans="1:30" ht="5.25" customHeight="1" x14ac:dyDescent="0.25">
      <c r="A53" s="59"/>
      <c r="B53" s="59"/>
      <c r="C53" s="59"/>
      <c r="D53" s="59"/>
      <c r="E53" s="59"/>
    </row>
    <row r="54" spans="1:30" ht="15" customHeight="1" x14ac:dyDescent="0.25">
      <c r="A54" s="59"/>
      <c r="B54" s="62" t="s">
        <v>221</v>
      </c>
      <c r="C54" s="63"/>
      <c r="D54" s="64">
        <f>(+(+D21+D22+D26+D25+D23)*12)+(M79+M80)+((M82*2)*INT($C$13/3))+(M88*2)+(M86*2*0.78)+(IF(C16="s",M92*12*INT(C13/3),0))+(D39*12)+(D40*12)+(IF(C14="s",+D27*12,0))</f>
        <v>33175.529600000002</v>
      </c>
    </row>
    <row r="55" spans="1:30" ht="15" customHeight="1" x14ac:dyDescent="0.25">
      <c r="A55" s="59"/>
      <c r="B55" s="6" t="str">
        <f>IF(C6="carrera","Derechos Pasivos, MUFACE y Cuota sindical","Seguridad Social y Cuota sindical. Curso completo")</f>
        <v>Seguridad Social y Cuota sindical. Curso completo</v>
      </c>
      <c r="C55" s="65"/>
      <c r="D55" s="64">
        <f>IF(C6="carrera",(+(M93+M94)*14)+(D44*12),-(D54*6.35%)-(D44*12))</f>
        <v>-2034.6461296000002</v>
      </c>
      <c r="E55" s="59"/>
    </row>
    <row r="56" spans="1:30" ht="3.75" customHeight="1" x14ac:dyDescent="0.25">
      <c r="A56" s="59"/>
      <c r="B56" s="59"/>
      <c r="C56" s="59"/>
      <c r="D56" s="59"/>
      <c r="E56" s="59"/>
    </row>
    <row r="57" spans="1:30" ht="15" customHeight="1" x14ac:dyDescent="0.25">
      <c r="A57" s="59"/>
      <c r="B57" s="6" t="str">
        <f>IF(OR(C6="interino",C6=AI71),"Base cotización Seguridad Social"," ")</f>
        <v>Base cotización Seguridad Social</v>
      </c>
      <c r="C57" s="65"/>
      <c r="D57" s="64">
        <f>IF(C6="interino",+D54/12,IF(C6=AI71,+D54/12," "))</f>
        <v>2764.6274666666668</v>
      </c>
      <c r="E57" s="59"/>
    </row>
    <row r="58" spans="1:30" ht="3.75" customHeight="1" x14ac:dyDescent="0.25">
      <c r="A58" s="59"/>
      <c r="B58" s="59"/>
      <c r="C58" s="59"/>
      <c r="D58" s="59"/>
      <c r="E58" s="59"/>
    </row>
    <row r="59" spans="1:30" ht="3.75" customHeight="1" x14ac:dyDescent="0.25">
      <c r="E59" s="59"/>
      <c r="Y59" s="1"/>
      <c r="Z59" s="1"/>
      <c r="AC59" s="3"/>
      <c r="AD59" s="3"/>
    </row>
    <row r="60" spans="1:30" ht="15.75" x14ac:dyDescent="0.25">
      <c r="A60" s="59"/>
      <c r="B60" s="248" t="str">
        <f>IF(C6="Interino","INTERINO. SUELDO BRUTO. Sólo año 2016 hasta finalización contrato"," ")</f>
        <v>INTERINO. SUELDO BRUTO. Sólo año 2016 hasta finalización contrato</v>
      </c>
      <c r="C60" s="249"/>
      <c r="D60" s="173">
        <f>IF(C6="Interino",(D54/365)*('Datos IRPF'!H13+'Datos IRPF'!B45)," ")</f>
        <v>29630.746985205482</v>
      </c>
      <c r="E60" s="59"/>
      <c r="Y60" s="1"/>
      <c r="Z60" s="1"/>
      <c r="AC60" s="3"/>
      <c r="AD60" s="3"/>
    </row>
    <row r="61" spans="1:30" ht="15.75" x14ac:dyDescent="0.25">
      <c r="B61" s="248" t="str">
        <f>IF(C6="Interino","INTERINO. Seguridad Social. Sólo año 2016 hasta finalización contrato"," ")</f>
        <v>INTERINO. Seguridad Social. Sólo año 2016 hasta finalización contrato</v>
      </c>
      <c r="C61" s="249"/>
      <c r="D61" s="173">
        <f>IF(C6="Interino",(D55/365)*('Datos IRPF'!H13+'Datos IRPF'!B45)," ")</f>
        <v>-1817.2455842454797</v>
      </c>
      <c r="E61" s="59"/>
    </row>
    <row r="62" spans="1:30" ht="9" customHeight="1" x14ac:dyDescent="0.25">
      <c r="E62" s="59"/>
    </row>
    <row r="63" spans="1:30" ht="15.75" x14ac:dyDescent="0.25">
      <c r="B63" s="231" t="s">
        <v>64</v>
      </c>
      <c r="C63" s="232"/>
      <c r="D63" s="233"/>
    </row>
    <row r="64" spans="1:30" ht="15.75" x14ac:dyDescent="0.25">
      <c r="J64" s="13"/>
      <c r="Y64" s="1"/>
      <c r="Z64" s="1"/>
      <c r="AC64" s="3"/>
      <c r="AD64" s="3"/>
    </row>
    <row r="65" spans="2:35" ht="12.95" customHeight="1" thickBot="1" x14ac:dyDescent="0.3">
      <c r="J65" s="13"/>
      <c r="Y65" s="1"/>
      <c r="Z65" s="1"/>
      <c r="AC65" s="3"/>
      <c r="AD65" s="3"/>
    </row>
    <row r="66" spans="2:35" ht="12.95" customHeight="1" thickBot="1" x14ac:dyDescent="0.3">
      <c r="C66" s="211" t="s">
        <v>238</v>
      </c>
      <c r="N66" s="2"/>
      <c r="O66" s="2"/>
      <c r="Y66" s="1"/>
      <c r="Z66" s="1"/>
      <c r="AC66" s="3"/>
      <c r="AD66" s="3"/>
    </row>
    <row r="67" spans="2:35" ht="12.95" customHeight="1" x14ac:dyDescent="0.25">
      <c r="B67" s="206" t="s">
        <v>232</v>
      </c>
      <c r="C67" s="207">
        <f>+C7</f>
        <v>20</v>
      </c>
      <c r="Y67" s="1"/>
      <c r="Z67" s="1"/>
      <c r="AC67" s="3"/>
      <c r="AD67" s="3"/>
    </row>
    <row r="68" spans="2:35" ht="12.95" customHeight="1" x14ac:dyDescent="0.25">
      <c r="B68" s="205" t="s">
        <v>231</v>
      </c>
      <c r="C68" s="208">
        <f>IF(AND(C4=AI102,C14="n"),(3/25)*C7,(6/20)*C7)</f>
        <v>6</v>
      </c>
      <c r="Y68" s="1"/>
      <c r="Z68" s="1"/>
      <c r="AC68" s="3"/>
      <c r="AD68" s="3"/>
    </row>
    <row r="69" spans="2:35" ht="12.95" customHeight="1" x14ac:dyDescent="0.25">
      <c r="B69" s="205" t="s">
        <v>233</v>
      </c>
      <c r="C69" s="208">
        <f>IF(AND(C4=AI102,C14="n"),(2/25)*C7,(3.5/20)*C7)</f>
        <v>3.5</v>
      </c>
      <c r="R69" s="1" t="s">
        <v>54</v>
      </c>
      <c r="Y69" s="1"/>
      <c r="Z69" s="1"/>
      <c r="AC69" s="3"/>
      <c r="AD69" s="3"/>
    </row>
    <row r="70" spans="2:35" ht="30" customHeight="1" x14ac:dyDescent="0.25">
      <c r="B70" s="205" t="s">
        <v>234</v>
      </c>
      <c r="C70" s="208">
        <f>IF(AND(C4=AI102,C14="n"),(7/25)*C7,(8/20)*C7)</f>
        <v>8</v>
      </c>
      <c r="N70" s="1" t="s">
        <v>58</v>
      </c>
      <c r="O70" s="1">
        <v>0</v>
      </c>
      <c r="R70" s="1" t="s">
        <v>54</v>
      </c>
      <c r="Y70" s="1"/>
      <c r="Z70" s="1"/>
      <c r="AC70" s="3"/>
      <c r="AD70" s="3"/>
      <c r="AI70" s="113" t="s">
        <v>223</v>
      </c>
    </row>
    <row r="71" spans="2:35" ht="12.95" customHeight="1" thickBot="1" x14ac:dyDescent="0.3">
      <c r="B71" s="209" t="s">
        <v>239</v>
      </c>
      <c r="C71" s="210">
        <f>SUM(C67:C70)</f>
        <v>37.5</v>
      </c>
      <c r="N71" s="1" t="s">
        <v>53</v>
      </c>
      <c r="O71" s="1">
        <v>1</v>
      </c>
      <c r="R71" s="15" t="s">
        <v>144</v>
      </c>
      <c r="T71" s="16">
        <v>524.32000000000005</v>
      </c>
      <c r="U71" s="20">
        <v>1</v>
      </c>
      <c r="V71" s="20"/>
      <c r="Y71" s="1"/>
      <c r="Z71" s="1"/>
      <c r="AC71" s="3"/>
      <c r="AD71" s="3"/>
      <c r="AI71" s="113" t="s">
        <v>224</v>
      </c>
    </row>
    <row r="72" spans="2:35" ht="12.95" customHeight="1" x14ac:dyDescent="0.25">
      <c r="O72" s="1">
        <v>2</v>
      </c>
      <c r="R72" s="15" t="s">
        <v>145</v>
      </c>
      <c r="T72" s="16">
        <v>478.4</v>
      </c>
      <c r="U72" s="20">
        <v>2</v>
      </c>
      <c r="V72" s="20"/>
      <c r="Y72" s="1"/>
      <c r="Z72" s="1"/>
      <c r="AC72" s="3"/>
      <c r="AD72" s="3"/>
      <c r="AI72" s="113" t="s">
        <v>96</v>
      </c>
    </row>
    <row r="73" spans="2:35" ht="12.95" customHeight="1" x14ac:dyDescent="0.25">
      <c r="N73" s="1" t="s">
        <v>53</v>
      </c>
      <c r="O73" s="1">
        <v>3</v>
      </c>
      <c r="R73" s="15" t="s">
        <v>146</v>
      </c>
      <c r="T73" s="16">
        <v>360.75</v>
      </c>
      <c r="U73" s="20">
        <v>3</v>
      </c>
      <c r="V73" s="20"/>
      <c r="Y73" s="1"/>
      <c r="Z73" s="1"/>
      <c r="AC73" s="3"/>
      <c r="AD73" s="3"/>
    </row>
    <row r="74" spans="2:35" ht="12.95" customHeight="1" x14ac:dyDescent="0.25">
      <c r="N74" s="1" t="s">
        <v>59</v>
      </c>
      <c r="O74" s="1">
        <v>4</v>
      </c>
      <c r="R74" s="17" t="s">
        <v>147</v>
      </c>
      <c r="T74" s="16">
        <v>274.5</v>
      </c>
      <c r="U74" s="20">
        <v>4</v>
      </c>
      <c r="V74" s="20"/>
      <c r="Y74" s="1"/>
      <c r="Z74" s="1"/>
      <c r="AC74" s="3"/>
      <c r="AD74" s="3"/>
    </row>
    <row r="75" spans="2:35" ht="12.95" customHeight="1" thickBot="1" x14ac:dyDescent="0.3">
      <c r="N75" s="1" t="s">
        <v>208</v>
      </c>
      <c r="O75" s="1">
        <v>5</v>
      </c>
      <c r="R75" s="17" t="s">
        <v>148</v>
      </c>
      <c r="T75" s="16">
        <v>186</v>
      </c>
      <c r="U75" s="20">
        <v>5</v>
      </c>
      <c r="V75" s="20"/>
      <c r="Y75" s="1"/>
      <c r="Z75" s="1"/>
      <c r="AC75" s="3"/>
      <c r="AD75" s="3"/>
      <c r="AI75" s="116" t="s">
        <v>101</v>
      </c>
    </row>
    <row r="76" spans="2:35" ht="12.95" customHeight="1" thickBot="1" x14ac:dyDescent="0.3">
      <c r="M76" s="29" t="str">
        <f>+Hoja2!D16</f>
        <v>590-Profesores Enseñanza Secundaria</v>
      </c>
      <c r="N76" s="1" t="s">
        <v>60</v>
      </c>
      <c r="O76" s="1">
        <v>6</v>
      </c>
      <c r="R76" s="17" t="s">
        <v>149</v>
      </c>
      <c r="T76" s="16">
        <v>116.54</v>
      </c>
      <c r="U76" s="20">
        <v>6</v>
      </c>
      <c r="V76" s="20"/>
      <c r="Y76" s="1"/>
      <c r="Z76" s="1"/>
      <c r="AC76" s="3"/>
      <c r="AD76" s="3"/>
      <c r="AI76" s="116" t="s">
        <v>97</v>
      </c>
    </row>
    <row r="77" spans="2:35" ht="12.95" customHeight="1" thickBot="1" x14ac:dyDescent="0.3">
      <c r="L77" s="30" t="s">
        <v>1</v>
      </c>
      <c r="M77" s="29" t="str">
        <f>+Hoja2!D17</f>
        <v>A1</v>
      </c>
      <c r="O77" s="1">
        <v>7</v>
      </c>
      <c r="R77" s="15" t="s">
        <v>150</v>
      </c>
      <c r="T77" s="16">
        <v>215.13</v>
      </c>
      <c r="U77" s="20">
        <v>7</v>
      </c>
      <c r="V77" s="20"/>
      <c r="Y77" s="1"/>
      <c r="Z77" s="1"/>
      <c r="AC77" s="3"/>
      <c r="AD77" s="3"/>
      <c r="AI77" s="116" t="s">
        <v>98</v>
      </c>
    </row>
    <row r="78" spans="2:35" ht="12.95" customHeight="1" thickBot="1" x14ac:dyDescent="0.3">
      <c r="L78" s="31" t="s">
        <v>3</v>
      </c>
      <c r="M78" s="29">
        <f>+Hoja2!D18</f>
        <v>1120.1500000000001</v>
      </c>
      <c r="O78" s="1">
        <v>8</v>
      </c>
      <c r="R78" s="15" t="s">
        <v>151</v>
      </c>
      <c r="T78" s="16">
        <v>206.17</v>
      </c>
      <c r="U78" s="20">
        <v>8</v>
      </c>
      <c r="V78" s="20"/>
      <c r="Y78" s="1"/>
      <c r="Z78" s="1"/>
      <c r="AC78" s="3"/>
      <c r="AD78" s="3"/>
      <c r="AI78" s="116" t="s">
        <v>99</v>
      </c>
    </row>
    <row r="79" spans="2:35" ht="12.95" customHeight="1" thickBot="1" x14ac:dyDescent="0.3">
      <c r="L79" s="32" t="s">
        <v>20</v>
      </c>
      <c r="M79" s="29">
        <f>+Hoja2!D19</f>
        <v>691.21</v>
      </c>
      <c r="O79" s="1">
        <v>9</v>
      </c>
      <c r="R79" s="17" t="s">
        <v>152</v>
      </c>
      <c r="T79" s="16">
        <v>192.72</v>
      </c>
      <c r="U79" s="21">
        <v>1</v>
      </c>
      <c r="V79" s="21"/>
      <c r="Y79" s="1"/>
      <c r="Z79" s="1"/>
      <c r="AC79" s="3"/>
      <c r="AD79" s="3"/>
      <c r="AI79" s="116" t="s">
        <v>100</v>
      </c>
    </row>
    <row r="80" spans="2:35" ht="12.95" customHeight="1" thickBot="1" x14ac:dyDescent="0.3">
      <c r="L80" s="33" t="s">
        <v>21</v>
      </c>
      <c r="M80" s="29">
        <f>+Hoja2!D20</f>
        <v>691.21</v>
      </c>
      <c r="O80" s="1">
        <v>10</v>
      </c>
      <c r="R80" s="15" t="s">
        <v>153</v>
      </c>
      <c r="T80" s="16">
        <v>150.13999999999999</v>
      </c>
      <c r="U80" s="21">
        <v>2</v>
      </c>
      <c r="V80" s="21"/>
      <c r="Y80" s="1"/>
      <c r="Z80" s="1"/>
      <c r="AC80" s="3"/>
      <c r="AD80" s="3"/>
      <c r="AI80" s="116" t="s">
        <v>102</v>
      </c>
    </row>
    <row r="81" spans="12:36" ht="12.95" customHeight="1" thickBot="1" x14ac:dyDescent="0.3">
      <c r="L81" s="34" t="s">
        <v>4</v>
      </c>
      <c r="M81" s="29">
        <f>+Hoja2!D21</f>
        <v>43.08</v>
      </c>
      <c r="O81" s="1">
        <v>11</v>
      </c>
      <c r="R81" s="17" t="s">
        <v>154</v>
      </c>
      <c r="T81" s="16">
        <v>215.13</v>
      </c>
      <c r="U81" s="21">
        <v>3</v>
      </c>
      <c r="V81" s="21"/>
      <c r="Y81" s="1"/>
      <c r="Z81" s="1"/>
      <c r="AC81" s="3"/>
      <c r="AD81" s="3"/>
      <c r="AI81" s="116" t="s">
        <v>103</v>
      </c>
    </row>
    <row r="82" spans="12:36" ht="12.95" customHeight="1" thickBot="1" x14ac:dyDescent="0.3">
      <c r="L82" s="35" t="s">
        <v>22</v>
      </c>
      <c r="M82" s="29">
        <f>+Hoja2!D22</f>
        <v>26.58</v>
      </c>
      <c r="O82" s="1">
        <v>12</v>
      </c>
      <c r="R82" s="15" t="s">
        <v>155</v>
      </c>
      <c r="T82" s="16">
        <v>206.17</v>
      </c>
      <c r="U82" s="21">
        <v>4</v>
      </c>
      <c r="V82" s="21"/>
      <c r="Y82" s="1"/>
      <c r="Z82" s="1"/>
      <c r="AC82" s="3"/>
      <c r="AD82" s="3"/>
      <c r="AI82" s="116" t="s">
        <v>104</v>
      </c>
    </row>
    <row r="83" spans="12:36" ht="12.95" customHeight="1" thickBot="1" x14ac:dyDescent="0.3">
      <c r="L83" s="36" t="s">
        <v>23</v>
      </c>
      <c r="M83" s="29">
        <f>+Hoja2!D23</f>
        <v>26.58</v>
      </c>
      <c r="O83" s="1">
        <v>13</v>
      </c>
      <c r="R83" s="15" t="s">
        <v>156</v>
      </c>
      <c r="T83" s="16">
        <v>192.72</v>
      </c>
      <c r="U83" s="21">
        <v>5</v>
      </c>
      <c r="V83" s="21"/>
      <c r="Y83" s="1"/>
      <c r="Z83" s="1"/>
      <c r="AC83" s="3"/>
      <c r="AD83" s="3"/>
      <c r="AI83" s="116" t="s">
        <v>105</v>
      </c>
    </row>
    <row r="84" spans="12:36" ht="12.95" customHeight="1" thickBot="1" x14ac:dyDescent="0.3">
      <c r="L84" s="37" t="s">
        <v>18</v>
      </c>
      <c r="M84" s="29">
        <f>+Hoja2!D24</f>
        <v>0</v>
      </c>
      <c r="O84" s="1">
        <v>14</v>
      </c>
      <c r="R84" s="15" t="s">
        <v>157</v>
      </c>
      <c r="T84" s="16">
        <v>150.13999999999999</v>
      </c>
      <c r="U84" s="21">
        <v>6</v>
      </c>
      <c r="V84" s="21"/>
      <c r="Y84" s="1"/>
      <c r="Z84" s="1"/>
      <c r="AC84" s="3"/>
      <c r="AD84" s="3"/>
      <c r="AI84" s="116" t="s">
        <v>106</v>
      </c>
    </row>
    <row r="85" spans="12:36" ht="12.95" customHeight="1" thickBot="1" x14ac:dyDescent="0.3">
      <c r="L85" s="38" t="s">
        <v>141</v>
      </c>
      <c r="M85" s="29">
        <f>+Hoja2!D25</f>
        <v>30.786706349206348</v>
      </c>
      <c r="O85" s="1">
        <v>15</v>
      </c>
      <c r="R85" s="15" t="s">
        <v>158</v>
      </c>
      <c r="T85" s="16">
        <v>100.85</v>
      </c>
      <c r="U85" s="21">
        <v>7</v>
      </c>
      <c r="V85" s="21"/>
      <c r="Y85" s="1"/>
      <c r="Z85" s="1"/>
      <c r="AC85" s="3"/>
      <c r="AD85" s="3"/>
      <c r="AI85" s="116" t="s">
        <v>107</v>
      </c>
    </row>
    <row r="86" spans="12:36" ht="12.95" customHeight="1" thickBot="1" x14ac:dyDescent="0.3">
      <c r="L86" s="39" t="s">
        <v>6</v>
      </c>
      <c r="M86" s="29">
        <f>+Hoja2!D26</f>
        <v>620.66</v>
      </c>
      <c r="O86" s="1">
        <v>16</v>
      </c>
      <c r="R86" s="15" t="s">
        <v>50</v>
      </c>
      <c r="T86" s="16">
        <v>215.13</v>
      </c>
      <c r="U86" s="22">
        <v>1</v>
      </c>
      <c r="V86" s="22"/>
      <c r="Y86" s="1"/>
      <c r="Z86" s="1"/>
      <c r="AC86" s="3"/>
      <c r="AD86" s="3"/>
      <c r="AI86" s="116" t="s">
        <v>108</v>
      </c>
    </row>
    <row r="87" spans="12:36" ht="12.95" customHeight="1" thickBot="1" x14ac:dyDescent="0.3">
      <c r="L87" s="40" t="s">
        <v>0</v>
      </c>
      <c r="M87" s="29">
        <f>+Hoja2!D27</f>
        <v>24</v>
      </c>
      <c r="O87" s="1">
        <v>17</v>
      </c>
      <c r="R87" s="15" t="s">
        <v>51</v>
      </c>
      <c r="T87" s="16">
        <v>206.17</v>
      </c>
      <c r="U87" s="22">
        <v>2</v>
      </c>
      <c r="V87" s="22"/>
      <c r="Y87" s="1"/>
      <c r="Z87" s="1"/>
      <c r="AC87" s="3"/>
      <c r="AD87" s="3"/>
      <c r="AI87" s="116" t="s">
        <v>109</v>
      </c>
    </row>
    <row r="88" spans="12:36" ht="12.95" customHeight="1" thickBot="1" x14ac:dyDescent="0.3">
      <c r="L88" s="41" t="s">
        <v>5</v>
      </c>
      <c r="M88" s="29">
        <f>+Hoja2!D28</f>
        <v>596.88</v>
      </c>
      <c r="O88" s="1">
        <v>18</v>
      </c>
      <c r="R88" s="17" t="s">
        <v>52</v>
      </c>
      <c r="T88" s="16">
        <v>192.72</v>
      </c>
      <c r="U88" s="22">
        <v>3</v>
      </c>
      <c r="V88" s="22"/>
      <c r="Y88" s="1"/>
      <c r="Z88" s="1"/>
      <c r="AC88" s="3"/>
      <c r="AD88" s="3"/>
      <c r="AI88" s="116" t="s">
        <v>110</v>
      </c>
    </row>
    <row r="89" spans="12:36" ht="12.95" customHeight="1" thickBot="1" x14ac:dyDescent="0.3">
      <c r="L89" s="42" t="s">
        <v>2</v>
      </c>
      <c r="M89" s="29">
        <f>+Hoja2!D29</f>
        <v>4</v>
      </c>
      <c r="O89" s="1">
        <v>19</v>
      </c>
      <c r="R89" s="17" t="s">
        <v>24</v>
      </c>
      <c r="T89" s="16">
        <v>140.79</v>
      </c>
      <c r="U89" s="22">
        <v>4</v>
      </c>
      <c r="V89" s="22"/>
      <c r="Y89" s="1"/>
      <c r="Z89" s="1"/>
      <c r="AC89" s="3"/>
      <c r="AD89" s="3"/>
      <c r="AI89" s="116" t="s">
        <v>111</v>
      </c>
    </row>
    <row r="90" spans="12:36" ht="12.95" customHeight="1" thickBot="1" x14ac:dyDescent="0.3">
      <c r="L90" s="43" t="s">
        <v>7</v>
      </c>
      <c r="M90" s="29">
        <f>+Hoja2!D30</f>
        <v>131.57</v>
      </c>
      <c r="O90" s="1">
        <v>20</v>
      </c>
      <c r="R90" s="17" t="s">
        <v>25</v>
      </c>
      <c r="T90" s="16">
        <v>148.47</v>
      </c>
      <c r="U90" s="22">
        <v>5</v>
      </c>
      <c r="V90" s="22"/>
      <c r="Y90" s="1"/>
      <c r="Z90" s="1"/>
      <c r="AC90" s="3"/>
      <c r="AD90" s="3"/>
      <c r="AI90" s="116" t="s">
        <v>112</v>
      </c>
    </row>
    <row r="91" spans="12:36" ht="12.95" customHeight="1" thickBot="1" x14ac:dyDescent="0.3">
      <c r="L91" s="43" t="s">
        <v>8</v>
      </c>
      <c r="M91" s="29">
        <f>+Hoja2!D31</f>
        <v>438.35</v>
      </c>
      <c r="O91" s="1">
        <v>21</v>
      </c>
      <c r="Q91" s="1">
        <v>10</v>
      </c>
      <c r="R91" s="17" t="s">
        <v>26</v>
      </c>
      <c r="T91" s="16">
        <v>159.38</v>
      </c>
      <c r="U91" s="22">
        <v>6</v>
      </c>
      <c r="V91" s="22"/>
      <c r="Y91" s="1"/>
      <c r="Z91" s="1"/>
      <c r="AC91" s="3"/>
      <c r="AD91" s="3"/>
      <c r="AI91" s="116" t="s">
        <v>113</v>
      </c>
    </row>
    <row r="92" spans="12:36" ht="12.95" customHeight="1" thickBot="1" x14ac:dyDescent="0.3">
      <c r="L92" s="44" t="s">
        <v>9</v>
      </c>
      <c r="M92" s="29">
        <f>+Hoja2!D32</f>
        <v>30.81</v>
      </c>
      <c r="O92" s="1">
        <v>22</v>
      </c>
      <c r="Q92" s="1">
        <v>11</v>
      </c>
      <c r="R92" s="17" t="s">
        <v>27</v>
      </c>
      <c r="T92" s="16">
        <v>122.92</v>
      </c>
      <c r="U92" s="22">
        <v>7</v>
      </c>
      <c r="V92" s="22"/>
      <c r="Y92" s="1"/>
      <c r="Z92" s="1"/>
      <c r="AC92" s="3"/>
      <c r="AD92" s="3"/>
    </row>
    <row r="93" spans="12:36" ht="12.95" customHeight="1" thickBot="1" x14ac:dyDescent="0.3">
      <c r="L93" s="45" t="s">
        <v>17</v>
      </c>
      <c r="M93" s="29">
        <f>+Hoja2!D33</f>
        <v>-48.1</v>
      </c>
      <c r="O93" s="1">
        <v>23</v>
      </c>
      <c r="Q93" s="1">
        <v>12</v>
      </c>
      <c r="R93" s="15" t="s">
        <v>28</v>
      </c>
      <c r="T93" s="16">
        <v>129.79</v>
      </c>
      <c r="U93" s="22">
        <v>8</v>
      </c>
      <c r="V93" s="22"/>
      <c r="Y93" s="1"/>
      <c r="Z93" s="1"/>
      <c r="AC93" s="3"/>
      <c r="AD93" s="3"/>
    </row>
    <row r="94" spans="12:36" ht="12.95" customHeight="1" x14ac:dyDescent="0.25">
      <c r="L94" s="45" t="s">
        <v>66</v>
      </c>
      <c r="M94" s="29">
        <f>+Hoja2!D34</f>
        <v>-109.86</v>
      </c>
      <c r="O94" s="1">
        <v>24</v>
      </c>
      <c r="Q94" s="1">
        <v>13</v>
      </c>
      <c r="R94" s="15" t="s">
        <v>29</v>
      </c>
      <c r="T94" s="16">
        <v>137.16</v>
      </c>
      <c r="U94" s="24">
        <v>1</v>
      </c>
      <c r="V94" s="24"/>
      <c r="Y94" s="1"/>
      <c r="Z94" s="1"/>
      <c r="AC94" s="3"/>
      <c r="AD94" s="3"/>
      <c r="AI94" s="181" t="s">
        <v>120</v>
      </c>
      <c r="AJ94" s="149">
        <v>20</v>
      </c>
    </row>
    <row r="95" spans="12:36" ht="12.95" customHeight="1" x14ac:dyDescent="0.25">
      <c r="L95" s="45"/>
      <c r="M95" s="56"/>
      <c r="O95" s="1">
        <v>25</v>
      </c>
      <c r="Q95" s="1">
        <v>14</v>
      </c>
      <c r="R95" s="17" t="s">
        <v>10</v>
      </c>
      <c r="T95" s="16">
        <v>345.39</v>
      </c>
      <c r="U95" s="24">
        <v>2</v>
      </c>
      <c r="V95" s="24"/>
      <c r="Y95" s="1"/>
      <c r="Z95" s="1"/>
      <c r="AC95" s="3"/>
      <c r="AD95" s="3"/>
      <c r="AI95" s="181" t="s">
        <v>121</v>
      </c>
      <c r="AJ95" s="149">
        <v>20</v>
      </c>
    </row>
    <row r="96" spans="12:36" ht="12.95" customHeight="1" x14ac:dyDescent="0.25">
      <c r="L96" s="45"/>
      <c r="M96" s="46"/>
      <c r="O96" s="1">
        <v>26</v>
      </c>
      <c r="Q96" s="1">
        <v>15</v>
      </c>
      <c r="R96" s="17" t="s">
        <v>11</v>
      </c>
      <c r="T96" s="16">
        <v>320.52999999999997</v>
      </c>
      <c r="U96" s="24">
        <v>3</v>
      </c>
      <c r="V96" s="24"/>
      <c r="Y96" s="1"/>
      <c r="Z96" s="1"/>
      <c r="AC96" s="3"/>
      <c r="AD96" s="3"/>
      <c r="AI96" s="181" t="s">
        <v>122</v>
      </c>
      <c r="AJ96" s="149">
        <v>20</v>
      </c>
    </row>
    <row r="97" spans="12:36" ht="12.95" customHeight="1" x14ac:dyDescent="0.25">
      <c r="L97" s="60" t="s">
        <v>67</v>
      </c>
      <c r="M97" s="57">
        <v>0</v>
      </c>
      <c r="O97" s="1">
        <v>27</v>
      </c>
      <c r="Q97" s="1">
        <v>16</v>
      </c>
      <c r="R97" s="15" t="s">
        <v>12</v>
      </c>
      <c r="T97" s="16">
        <v>166.84</v>
      </c>
      <c r="U97" s="24">
        <v>4</v>
      </c>
      <c r="V97" s="24"/>
      <c r="Y97" s="1"/>
      <c r="Z97" s="1"/>
      <c r="AC97" s="3"/>
      <c r="AD97" s="3"/>
      <c r="AI97" s="181" t="s">
        <v>123</v>
      </c>
      <c r="AJ97" s="149">
        <v>20</v>
      </c>
    </row>
    <row r="98" spans="12:36" ht="12.95" customHeight="1" x14ac:dyDescent="0.25">
      <c r="L98" s="60" t="s">
        <v>70</v>
      </c>
      <c r="M98" s="57">
        <v>90</v>
      </c>
      <c r="O98" s="1">
        <v>28</v>
      </c>
      <c r="Q98" s="1">
        <v>17</v>
      </c>
      <c r="R98" s="15" t="s">
        <v>16</v>
      </c>
      <c r="T98" s="16">
        <v>144.72999999999999</v>
      </c>
      <c r="U98" s="24">
        <v>5</v>
      </c>
      <c r="V98" s="24"/>
      <c r="Y98" s="1"/>
      <c r="Z98" s="1"/>
      <c r="AC98" s="3"/>
      <c r="AD98" s="3"/>
      <c r="AI98" s="181" t="s">
        <v>124</v>
      </c>
      <c r="AJ98" s="149">
        <v>20</v>
      </c>
    </row>
    <row r="99" spans="12:36" ht="12.95" customHeight="1" x14ac:dyDescent="0.25">
      <c r="L99" s="60" t="s">
        <v>71</v>
      </c>
      <c r="M99" s="57">
        <v>100</v>
      </c>
      <c r="O99" s="1">
        <v>29</v>
      </c>
      <c r="Q99" s="1">
        <v>18</v>
      </c>
      <c r="R99" s="15" t="s">
        <v>63</v>
      </c>
      <c r="T99" s="16">
        <v>222.16</v>
      </c>
      <c r="U99" s="24">
        <v>6</v>
      </c>
      <c r="V99" s="24"/>
      <c r="Y99" s="1"/>
      <c r="Z99" s="1"/>
      <c r="AC99" s="3"/>
      <c r="AD99" s="3"/>
      <c r="AI99" s="181" t="s">
        <v>125</v>
      </c>
      <c r="AJ99" s="149">
        <v>20</v>
      </c>
    </row>
    <row r="100" spans="12:36" ht="12.95" customHeight="1" x14ac:dyDescent="0.25">
      <c r="L100" s="60" t="s">
        <v>73</v>
      </c>
      <c r="M100" s="57">
        <v>115</v>
      </c>
      <c r="O100" s="1">
        <v>30</v>
      </c>
      <c r="Q100" s="1">
        <v>19</v>
      </c>
      <c r="R100" s="15" t="s">
        <v>13</v>
      </c>
      <c r="T100" s="16">
        <v>292.7</v>
      </c>
      <c r="U100" s="24">
        <v>7</v>
      </c>
      <c r="V100" s="24"/>
      <c r="Y100" s="1"/>
      <c r="Z100" s="1"/>
      <c r="AC100" s="3"/>
      <c r="AD100" s="3"/>
      <c r="AI100" s="181" t="s">
        <v>126</v>
      </c>
      <c r="AJ100" s="149">
        <v>20</v>
      </c>
    </row>
    <row r="101" spans="12:36" ht="12.95" customHeight="1" x14ac:dyDescent="0.25">
      <c r="L101" s="60" t="s">
        <v>74</v>
      </c>
      <c r="M101" s="57">
        <v>130</v>
      </c>
      <c r="O101" s="1">
        <v>31</v>
      </c>
      <c r="Q101" s="1">
        <v>22</v>
      </c>
      <c r="R101" s="15" t="s">
        <v>14</v>
      </c>
      <c r="T101" s="16">
        <v>16.59</v>
      </c>
      <c r="U101" s="24">
        <v>8</v>
      </c>
      <c r="V101" s="24"/>
      <c r="Y101" s="1"/>
      <c r="Z101" s="1"/>
      <c r="AC101" s="3"/>
      <c r="AD101" s="3"/>
      <c r="AI101" s="181" t="s">
        <v>127</v>
      </c>
      <c r="AJ101" s="149">
        <v>20</v>
      </c>
    </row>
    <row r="102" spans="12:36" ht="12.95" customHeight="1" x14ac:dyDescent="0.25">
      <c r="L102" s="60" t="s">
        <v>72</v>
      </c>
      <c r="M102" s="57">
        <v>70</v>
      </c>
      <c r="O102" s="1">
        <v>32</v>
      </c>
      <c r="Q102" s="1">
        <v>17</v>
      </c>
      <c r="R102" s="17" t="s">
        <v>15</v>
      </c>
      <c r="T102" s="16">
        <v>67.28</v>
      </c>
      <c r="U102" s="25">
        <v>1</v>
      </c>
      <c r="V102" s="25"/>
      <c r="Y102" s="1"/>
      <c r="Z102" s="1"/>
      <c r="AC102" s="3"/>
      <c r="AD102" s="3"/>
      <c r="AI102" s="181" t="s">
        <v>128</v>
      </c>
      <c r="AJ102" s="149">
        <v>25</v>
      </c>
    </row>
    <row r="103" spans="12:36" ht="12.95" customHeight="1" x14ac:dyDescent="0.25">
      <c r="O103" s="1">
        <v>33</v>
      </c>
      <c r="Q103" s="1">
        <v>18</v>
      </c>
      <c r="R103" s="15" t="s">
        <v>30</v>
      </c>
      <c r="T103" s="16">
        <v>659.01</v>
      </c>
      <c r="U103" s="25">
        <v>2</v>
      </c>
      <c r="V103" s="25"/>
      <c r="Y103" s="1"/>
      <c r="Z103" s="1"/>
      <c r="AC103" s="3"/>
      <c r="AD103" s="3"/>
    </row>
    <row r="104" spans="12:36" ht="12.95" customHeight="1" x14ac:dyDescent="0.25">
      <c r="L104" s="1" t="s">
        <v>69</v>
      </c>
      <c r="M104" s="1" t="str">
        <f>IF(C15="diciembre",(IF(INT(C13/6)=1,M98,IF(INT(C13/6)=2,M99,IF(INT(C13/6)=3,M100,IF(INT(C13/6)=4,M101,IF(INT(C13/6)&gt;4,M102,M97))))))," ")</f>
        <v xml:space="preserve"> </v>
      </c>
      <c r="O104" s="1">
        <v>34</v>
      </c>
      <c r="Q104" s="1">
        <v>19</v>
      </c>
      <c r="R104" s="15" t="s">
        <v>31</v>
      </c>
      <c r="T104" s="16">
        <v>586.20000000000005</v>
      </c>
      <c r="U104" s="25">
        <v>3</v>
      </c>
      <c r="V104" s="25"/>
      <c r="Y104" s="1"/>
      <c r="Z104" s="1"/>
      <c r="AC104" s="3"/>
      <c r="AD104" s="3"/>
      <c r="AI104" s="113" t="str">
        <f>+C4</f>
        <v>590-Profesores Enseñanza Secundaria</v>
      </c>
    </row>
    <row r="105" spans="12:36" ht="12.95" customHeight="1" x14ac:dyDescent="0.25">
      <c r="M105" s="58">
        <f>M79+(M82*INT(C13/3))+(IF(C14="s",(M86+T123)*0.78,M86*0.78))+M88+(IF(INT(C13/6)=1,M98,IF(INT(C13/6)=2,M99,IF(INT(C13/6)=3,M100,IF(INT(C13/6)=4,M101,IF(INT(C13/6)&gt;4,M102,M97))))))</f>
        <v>1772.2048</v>
      </c>
      <c r="O105" s="1">
        <v>35</v>
      </c>
      <c r="Q105" s="1">
        <v>20</v>
      </c>
      <c r="R105" s="15" t="s">
        <v>32</v>
      </c>
      <c r="T105" s="16">
        <v>527.91999999999996</v>
      </c>
      <c r="U105" s="25">
        <v>4</v>
      </c>
      <c r="V105" s="25"/>
      <c r="Y105" s="1"/>
      <c r="Z105" s="1"/>
      <c r="AC105" s="3"/>
      <c r="AD105" s="3"/>
    </row>
    <row r="106" spans="12:36" ht="12.95" customHeight="1" x14ac:dyDescent="0.25">
      <c r="O106" s="1">
        <v>36</v>
      </c>
      <c r="Q106" s="1">
        <v>25</v>
      </c>
      <c r="R106" s="15" t="s">
        <v>33</v>
      </c>
      <c r="T106" s="16">
        <v>480.83</v>
      </c>
      <c r="U106" s="25">
        <v>5</v>
      </c>
      <c r="V106" s="25"/>
      <c r="Y106" s="1"/>
      <c r="Z106" s="1"/>
      <c r="AC106" s="3"/>
      <c r="AD106" s="3"/>
    </row>
    <row r="107" spans="12:36" ht="12.95" customHeight="1" x14ac:dyDescent="0.25">
      <c r="L107" s="60" t="s">
        <v>80</v>
      </c>
      <c r="M107" s="68">
        <f t="shared" ref="M107:M112" si="2">+M97-M96</f>
        <v>0</v>
      </c>
      <c r="O107" s="1">
        <v>37</v>
      </c>
      <c r="Q107" s="1">
        <v>26</v>
      </c>
      <c r="R107" s="15" t="s">
        <v>34</v>
      </c>
      <c r="T107" s="16">
        <v>323.95999999999998</v>
      </c>
      <c r="U107" s="25">
        <v>6</v>
      </c>
      <c r="V107" s="25"/>
      <c r="Y107" s="1"/>
      <c r="Z107" s="1"/>
      <c r="AC107" s="3"/>
      <c r="AD107" s="3"/>
    </row>
    <row r="108" spans="12:36" ht="12.95" customHeight="1" x14ac:dyDescent="0.25">
      <c r="L108" s="60" t="s">
        <v>75</v>
      </c>
      <c r="M108" s="68">
        <f t="shared" si="2"/>
        <v>90</v>
      </c>
      <c r="O108" s="1">
        <v>38</v>
      </c>
      <c r="Q108" s="1">
        <v>27</v>
      </c>
      <c r="R108" s="17" t="s">
        <v>35</v>
      </c>
      <c r="T108" s="16">
        <v>310.49</v>
      </c>
      <c r="U108" s="25">
        <v>7</v>
      </c>
      <c r="V108" s="25"/>
      <c r="Y108" s="1"/>
      <c r="Z108" s="1"/>
      <c r="AC108" s="3"/>
      <c r="AD108" s="3"/>
    </row>
    <row r="109" spans="12:36" ht="12.95" customHeight="1" x14ac:dyDescent="0.25">
      <c r="L109" s="60" t="s">
        <v>76</v>
      </c>
      <c r="M109" s="68">
        <f t="shared" si="2"/>
        <v>10</v>
      </c>
      <c r="O109" s="1">
        <v>39</v>
      </c>
      <c r="Q109" s="1">
        <v>28</v>
      </c>
      <c r="R109" s="17" t="s">
        <v>36</v>
      </c>
      <c r="T109" s="16">
        <v>241</v>
      </c>
      <c r="U109" s="25">
        <v>8</v>
      </c>
      <c r="V109" s="25"/>
      <c r="Y109" s="1"/>
      <c r="Z109" s="1"/>
      <c r="AC109" s="3"/>
      <c r="AD109" s="3"/>
    </row>
    <row r="110" spans="12:36" ht="12.95" customHeight="1" x14ac:dyDescent="0.25">
      <c r="L110" s="60" t="s">
        <v>77</v>
      </c>
      <c r="M110" s="68">
        <f t="shared" si="2"/>
        <v>15</v>
      </c>
      <c r="N110" s="68">
        <f>SUM(M108:M110)</f>
        <v>115</v>
      </c>
      <c r="O110" s="1">
        <v>40</v>
      </c>
      <c r="Q110" s="1">
        <v>29</v>
      </c>
      <c r="R110" s="17" t="s">
        <v>37</v>
      </c>
      <c r="T110" s="16">
        <v>192.82</v>
      </c>
      <c r="U110" s="23">
        <v>1</v>
      </c>
      <c r="V110" s="23"/>
      <c r="Y110" s="1"/>
      <c r="Z110" s="1"/>
      <c r="AC110" s="3"/>
      <c r="AD110" s="3"/>
    </row>
    <row r="111" spans="12:36" ht="12.95" customHeight="1" x14ac:dyDescent="0.25">
      <c r="L111" s="60" t="s">
        <v>78</v>
      </c>
      <c r="M111" s="68">
        <f t="shared" si="2"/>
        <v>15</v>
      </c>
      <c r="O111" s="1">
        <v>41</v>
      </c>
      <c r="Q111" s="1">
        <v>30</v>
      </c>
      <c r="R111" s="17" t="s">
        <v>38</v>
      </c>
      <c r="T111" s="16">
        <v>323.95999999999998</v>
      </c>
      <c r="U111" s="23">
        <v>2</v>
      </c>
      <c r="V111" s="23"/>
      <c r="Y111" s="1"/>
      <c r="Z111" s="1"/>
      <c r="AC111" s="3"/>
      <c r="AD111" s="3"/>
    </row>
    <row r="112" spans="12:36" ht="12.95" customHeight="1" x14ac:dyDescent="0.25">
      <c r="L112" s="60" t="s">
        <v>79</v>
      </c>
      <c r="M112" s="68">
        <f t="shared" si="2"/>
        <v>-60</v>
      </c>
      <c r="O112" s="1">
        <v>42</v>
      </c>
      <c r="Q112" s="1">
        <v>31</v>
      </c>
      <c r="R112" s="17" t="s">
        <v>39</v>
      </c>
      <c r="T112" s="16">
        <v>310.49</v>
      </c>
      <c r="U112" s="23">
        <v>3</v>
      </c>
      <c r="V112" s="23"/>
      <c r="Y112" s="1"/>
      <c r="Z112" s="1"/>
      <c r="AC112" s="3"/>
      <c r="AD112" s="3"/>
    </row>
    <row r="113" spans="12:34" ht="12.95" customHeight="1" x14ac:dyDescent="0.25">
      <c r="O113" s="1">
        <v>43</v>
      </c>
      <c r="Q113" s="1">
        <v>32</v>
      </c>
      <c r="R113" s="15" t="s">
        <v>40</v>
      </c>
      <c r="T113" s="16">
        <v>241</v>
      </c>
      <c r="U113" s="23">
        <v>4</v>
      </c>
      <c r="V113" s="23"/>
      <c r="Y113" s="1"/>
      <c r="Z113" s="1"/>
      <c r="AC113" s="3"/>
      <c r="AD113" s="3"/>
    </row>
    <row r="114" spans="12:34" ht="12.95" customHeight="1" x14ac:dyDescent="0.25">
      <c r="O114" s="1">
        <v>44</v>
      </c>
      <c r="Q114" s="1">
        <v>33</v>
      </c>
      <c r="R114" s="15" t="s">
        <v>41</v>
      </c>
      <c r="T114" s="16">
        <v>192.82</v>
      </c>
      <c r="U114" s="23">
        <v>5</v>
      </c>
      <c r="V114" s="23"/>
      <c r="Y114" s="1"/>
      <c r="Z114" s="1"/>
      <c r="AC114" s="3"/>
      <c r="AD114" s="3"/>
    </row>
    <row r="115" spans="12:34" ht="12.95" customHeight="1" x14ac:dyDescent="0.25">
      <c r="M115" s="49">
        <f>IF($C$15="junio",2*M94,IF($C$15="diciembre",2*M94,M94))</f>
        <v>-219.72</v>
      </c>
      <c r="O115" s="1">
        <v>45</v>
      </c>
      <c r="R115" s="15" t="s">
        <v>42</v>
      </c>
      <c r="T115" s="16">
        <v>323.95999999999998</v>
      </c>
      <c r="U115" s="23">
        <v>6</v>
      </c>
      <c r="V115" s="23"/>
      <c r="Y115" s="1"/>
      <c r="Z115" s="1"/>
    </row>
    <row r="116" spans="12:34" ht="12.95" customHeight="1" x14ac:dyDescent="0.25">
      <c r="M116" s="14">
        <f>IF($C$15="junio",2*M93,IF($C$15="diciembre",2*M93,M93))</f>
        <v>-96.2</v>
      </c>
      <c r="O116" s="1">
        <v>46</v>
      </c>
      <c r="R116" s="15" t="s">
        <v>43</v>
      </c>
      <c r="T116" s="16">
        <v>310.49</v>
      </c>
      <c r="U116" s="23">
        <v>7</v>
      </c>
      <c r="V116" s="23"/>
      <c r="Y116" s="1"/>
      <c r="Z116" s="1"/>
    </row>
    <row r="117" spans="12:34" ht="12.95" customHeight="1" x14ac:dyDescent="0.25">
      <c r="M117" s="14"/>
      <c r="O117" s="1">
        <v>47</v>
      </c>
      <c r="R117" s="15" t="s">
        <v>44</v>
      </c>
      <c r="T117" s="16">
        <v>241</v>
      </c>
      <c r="U117" s="23">
        <v>8</v>
      </c>
      <c r="V117" s="23"/>
      <c r="Y117" s="1"/>
      <c r="Z117" s="1"/>
      <c r="AC117" s="3"/>
      <c r="AD117" s="3"/>
    </row>
    <row r="118" spans="12:34" ht="12.95" customHeight="1" x14ac:dyDescent="0.25">
      <c r="O118" s="1">
        <v>48</v>
      </c>
      <c r="R118" s="15" t="s">
        <v>45</v>
      </c>
      <c r="T118" s="16">
        <v>192.82</v>
      </c>
      <c r="U118" s="26">
        <v>1</v>
      </c>
      <c r="V118" s="26"/>
      <c r="Y118" s="1"/>
      <c r="Z118" s="1"/>
      <c r="AC118" s="3"/>
      <c r="AD118" s="3"/>
    </row>
    <row r="119" spans="12:34" ht="12.95" customHeight="1" x14ac:dyDescent="0.25">
      <c r="O119" s="1">
        <v>49</v>
      </c>
      <c r="R119" s="15" t="s">
        <v>46</v>
      </c>
      <c r="T119" s="16">
        <v>161.97999999999999</v>
      </c>
      <c r="U119" s="26">
        <v>2</v>
      </c>
      <c r="V119" s="26"/>
      <c r="Y119" s="1"/>
      <c r="Z119" s="1"/>
    </row>
    <row r="120" spans="12:34" ht="12.95" customHeight="1" x14ac:dyDescent="0.25">
      <c r="L120" s="178" t="s">
        <v>204</v>
      </c>
      <c r="M120" s="172">
        <f>IF(AND(M76=AI102,C14=N70),20,IF(AND(M76=AI102,C14=N71),25,20))</f>
        <v>20</v>
      </c>
      <c r="O120" s="1">
        <v>50</v>
      </c>
      <c r="R120" s="17" t="s">
        <v>47</v>
      </c>
      <c r="T120" s="16">
        <v>155.25</v>
      </c>
      <c r="U120" s="26">
        <v>3</v>
      </c>
      <c r="V120" s="26"/>
      <c r="Y120" s="1"/>
      <c r="Z120" s="1"/>
      <c r="AC120" s="3"/>
      <c r="AD120" s="3"/>
    </row>
    <row r="121" spans="12:34" ht="12.95" customHeight="1" x14ac:dyDescent="0.25">
      <c r="R121" s="17" t="s">
        <v>48</v>
      </c>
      <c r="T121" s="16">
        <v>120.52</v>
      </c>
      <c r="U121" s="26">
        <v>4</v>
      </c>
      <c r="V121" s="26"/>
      <c r="Y121" s="1"/>
      <c r="Z121" s="1"/>
      <c r="AC121" s="3"/>
      <c r="AD121" s="3"/>
    </row>
    <row r="122" spans="12:34" ht="12.95" customHeight="1" x14ac:dyDescent="0.25">
      <c r="R122" s="17" t="s">
        <v>49</v>
      </c>
      <c r="T122" s="16">
        <v>96.42</v>
      </c>
      <c r="U122" s="26">
        <v>5</v>
      </c>
      <c r="V122" s="26"/>
      <c r="Y122" s="1"/>
      <c r="Z122" s="1"/>
      <c r="AC122" s="3"/>
      <c r="AD122" s="3"/>
    </row>
    <row r="123" spans="12:34" ht="12.95" customHeight="1" x14ac:dyDescent="0.25">
      <c r="R123" s="17" t="s">
        <v>68</v>
      </c>
      <c r="S123" s="18"/>
      <c r="T123" s="16">
        <v>73.92</v>
      </c>
      <c r="U123" s="26">
        <v>5</v>
      </c>
      <c r="V123" s="26"/>
      <c r="Y123" s="1"/>
      <c r="Z123" s="1"/>
      <c r="AC123" s="3"/>
      <c r="AD123" s="3"/>
    </row>
    <row r="124" spans="12:34" ht="12.95" customHeight="1" x14ac:dyDescent="0.25">
      <c r="U124" s="26">
        <v>7</v>
      </c>
      <c r="V124" s="26"/>
      <c r="Y124" s="1"/>
      <c r="Z124" s="1"/>
      <c r="AC124" s="3"/>
      <c r="AD124" s="3"/>
    </row>
    <row r="125" spans="12:34" ht="12.95" customHeight="1" x14ac:dyDescent="0.25">
      <c r="U125" s="26">
        <v>8</v>
      </c>
      <c r="V125" s="26"/>
      <c r="Y125" s="1"/>
      <c r="Z125" s="1"/>
      <c r="AC125" s="3"/>
      <c r="AD125" s="3"/>
    </row>
    <row r="126" spans="12:34" ht="12.95" customHeight="1" x14ac:dyDescent="0.2">
      <c r="V126" s="21">
        <f>IF(B39=R79,S79,IF(B39=R80,S80,IF(B39=R81,S81,IF(B39=R82,S82,IF(B39=R83,S83,IF(B39=R84,S84,IF(B39=R85,S85,X126)))))))</f>
        <v>0</v>
      </c>
      <c r="W126" s="21">
        <f>IF(B39=R79,T79,IF(B39=R80,T80,IF(B39=R81,T81,IF(B39=R82,T82,IF(B39=R83,T83,IF(B39=R84,T84,IF(B39=R85,T85,Y126)))))))</f>
        <v>0</v>
      </c>
      <c r="X126" s="22">
        <f>IF(B39=R86,S86,IF(B39=R87,S87,IF(B39=R88,S88,IF(B39=R89,S89,IF(B39=R90,S90,IF(B39=R91,S91,IF(B39=R92,S92,IF(B39=R93,S93,Z126))))))))</f>
        <v>0</v>
      </c>
      <c r="Y126" s="22">
        <f>IF(B39=R86,T86,IF(B39=R87,T87,IF(B39=R88,T88,IF(B39=R89,T89,IF(B39=R90,T90,IF(B39=R91,T91,IF(B39=R92,T92,IF(B39=R93,T93,AA126))))))))</f>
        <v>0</v>
      </c>
      <c r="Z126" s="24">
        <f>IF(B39=R94,S94,IF(B39=R95,S95,IF(B39=R96,S96,IF(B39=R97,S97,IF(B39=R98,S98,IF(B39=R99,S99,IF(B39=R100,S100,IF(B39=R101,S101,AB126))))))))</f>
        <v>0</v>
      </c>
      <c r="AA126" s="24">
        <f>IF(B39=R94,T94,IF(B39=R95,T95,IF(B39=R96,T96,IF(B39=R97,T97,IF(B39=R98,T98,IF(B39=R99,T99,IF(B39=R100,T100,IF(B39=R101,T101,AC126))))))))</f>
        <v>0</v>
      </c>
      <c r="AB126" s="24">
        <f>IF(B39=R102,S102,IF(B39=R103,S103,IF(B39=R104,S104,IF(B39=R105,S105,IF(B39=R106,S106,IF(B39=R107,S107,IF(B39=R108,S108,IF(B39=R109,S109,AD126))))))))</f>
        <v>0</v>
      </c>
      <c r="AC126" s="24">
        <f>IF(B39=R102,T102,IF(B39=R103,T103,IF(B39=R104,T104,IF(B39=R105,T105,IF(B39=R106,T106,IF(B39=R107,T107,IF(B39=R108,T108,IF(B39=R109,T109,AE126))))))))</f>
        <v>0</v>
      </c>
      <c r="AD126" s="24">
        <f>IF(B39=R110,S110,IF(B39=R111,S111,IF(B39=R112,S112,IF(B39=R113,S113,IF(B39=R114,S114,IF(B39=R115,S115,IF(B39=R116,S116,IF(B39=R117,S117,AF126))))))))</f>
        <v>0</v>
      </c>
      <c r="AE126" s="24">
        <f>IF(B39=R110,T110,IF(B39=R111,T111,IF(B39=R112,T112,IF(B39=R113,T113,IF(B39=R114,T114,IF(B39=R115,T115,IF(B39=R116,T116,IF(B39=R117,T117,AG126))))))))</f>
        <v>0</v>
      </c>
      <c r="AF126" s="24">
        <f>IF(B39=R118,S118,IF(B39=R119,S119,IF(B39=R120,S120,IF(B39=R121,S121,IF(B39=R122,S122,IF(B39=R123,S123,IF(B39=R124,S124,IF(B39=R125,S125,AG126))))))))</f>
        <v>0</v>
      </c>
      <c r="AG126" s="24">
        <f>IF(B39=R118,T118,IF(B39=R119,T119,IF(B39=R120,T120,IF(B39=R121,T121,IF(B39=R122,T122,IF(B39=R123,#REF!,IF(B39=R124,T124,IF(B39=R125,T125,AH126))))))))</f>
        <v>0</v>
      </c>
      <c r="AH126" s="1">
        <v>0</v>
      </c>
    </row>
    <row r="127" spans="12:34" ht="12.95" customHeight="1" x14ac:dyDescent="0.25">
      <c r="W127" s="21">
        <f>IF(B40=R79,T79,IF(B40=R80,T80,IF(B40=R81,T81,IF(B40=R82,T82,IF(B40=R83,T83,IF(B40=R84,T84,IF(B40=R85,T85,IF(B40=59,T86,Y127))))))))</f>
        <v>0</v>
      </c>
      <c r="Y127" s="22">
        <f>IF(B40=R87,T87,IF(B40=R88,T88,IF(B40=R89,T89,IF(B40=R90,T90,IF(B40=R91,T91,IF(B40=R92,T92,IF(B40=R93,T93,IF(B40=R94,T94,AA127))))))))</f>
        <v>0</v>
      </c>
      <c r="Z127" s="1"/>
      <c r="AA127" s="24">
        <f>IF(B40=R95,T95,IF(B40=R96,T96,IF(B40=R97,T97,IF(B40=R98,T98,IF(B40=R99,T99,IF(B40=R100,T100,IF(B40=R101,T101,IF(B40=R102,T102,AC127))))))))</f>
        <v>0</v>
      </c>
      <c r="AC127" s="24">
        <f>IF(B40=R103,T103,IF(B40=R104,T104,IF(B40=R105,T105,IF(B40=R106,T106,IF(B40=R107,T107,IF(B40=R108,T108,IF(B40=R109,T109,IF(B40=R110,T110,AE127))))))))</f>
        <v>0</v>
      </c>
      <c r="AD127" s="3"/>
      <c r="AE127" s="24">
        <f>IF(B40=R111,T111,IF(B40=R112,T112,IF(B40=R113,T113,IF(B40=R114,T114,IF(B40=R115,T115,IF(B40=R116,T116,IF(B40=R117,T117,IF(B40=R118,T118,AG127))))))))</f>
        <v>0</v>
      </c>
      <c r="AF127" s="24"/>
      <c r="AG127" s="24">
        <f>IF(B40=R119,T119,IF(B40=R120,T120,IF(B40=R121,T121,IF(B40=R122,T122,IF(B40=R123,#REF!,IF(B40=R124,T124,IF(B40=R125,T125,IF(B40=R126,T126,AH127))))))))</f>
        <v>0</v>
      </c>
      <c r="AH127" s="1">
        <v>0</v>
      </c>
    </row>
    <row r="128" spans="12:34" ht="12.95" customHeight="1" x14ac:dyDescent="0.25">
      <c r="Y128" s="1"/>
      <c r="Z128" s="1"/>
      <c r="AC128" s="3"/>
      <c r="AD128" s="3"/>
    </row>
    <row r="129" spans="25:30" ht="12.95" customHeight="1" x14ac:dyDescent="0.25">
      <c r="Y129" s="1"/>
      <c r="Z129" s="1"/>
      <c r="AC129" s="3"/>
      <c r="AD129" s="3"/>
    </row>
    <row r="130" spans="25:30" ht="12.95" customHeight="1" x14ac:dyDescent="0.25">
      <c r="Y130" s="1"/>
      <c r="Z130" s="1"/>
      <c r="AC130" s="3"/>
      <c r="AD130" s="3"/>
    </row>
    <row r="131" spans="25:30" ht="12.95" customHeight="1" x14ac:dyDescent="0.25">
      <c r="Y131" s="1"/>
      <c r="Z131" s="1"/>
      <c r="AC131" s="3"/>
      <c r="AD131" s="3"/>
    </row>
    <row r="132" spans="25:30" ht="12.95" customHeight="1" x14ac:dyDescent="0.25">
      <c r="Y132" s="1"/>
      <c r="Z132" s="1"/>
      <c r="AC132" s="3"/>
      <c r="AD132" s="3"/>
    </row>
    <row r="133" spans="25:30" ht="12.95" customHeight="1" x14ac:dyDescent="0.25">
      <c r="Y133" s="1"/>
      <c r="Z133" s="1"/>
      <c r="AC133" s="3"/>
      <c r="AD133" s="3"/>
    </row>
    <row r="134" spans="25:30" ht="12.95" customHeight="1" x14ac:dyDescent="0.25">
      <c r="Y134" s="1"/>
      <c r="Z134" s="1"/>
      <c r="AC134" s="3"/>
      <c r="AD134" s="3"/>
    </row>
    <row r="135" spans="25:30" ht="12.95" customHeight="1" x14ac:dyDescent="0.25">
      <c r="Y135" s="1"/>
      <c r="Z135" s="1"/>
      <c r="AC135" s="3"/>
      <c r="AD135" s="3"/>
    </row>
    <row r="136" spans="25:30" ht="12.95" customHeight="1" x14ac:dyDescent="0.25">
      <c r="Y136" s="1"/>
      <c r="Z136" s="1"/>
      <c r="AC136" s="3"/>
      <c r="AD136" s="3"/>
    </row>
    <row r="137" spans="25:30" ht="12.95" customHeight="1" x14ac:dyDescent="0.25">
      <c r="Y137" s="1"/>
      <c r="Z137" s="1"/>
      <c r="AC137" s="3"/>
      <c r="AD137" s="3"/>
    </row>
    <row r="138" spans="25:30" ht="12.95" customHeight="1" x14ac:dyDescent="0.25">
      <c r="Y138" s="1"/>
      <c r="Z138" s="1"/>
      <c r="AC138" s="3"/>
      <c r="AD138" s="3"/>
    </row>
    <row r="139" spans="25:30" ht="12.95" customHeight="1" x14ac:dyDescent="0.25">
      <c r="Y139" s="1"/>
      <c r="Z139" s="1"/>
      <c r="AC139" s="3"/>
      <c r="AD139" s="3"/>
    </row>
    <row r="140" spans="25:30" ht="12.95" customHeight="1" x14ac:dyDescent="0.25">
      <c r="Y140" s="1"/>
      <c r="Z140" s="1"/>
      <c r="AC140" s="3"/>
      <c r="AD140" s="3"/>
    </row>
    <row r="141" spans="25:30" ht="12.95" customHeight="1" x14ac:dyDescent="0.25">
      <c r="Y141" s="1"/>
      <c r="Z141" s="1"/>
      <c r="AC141" s="3"/>
      <c r="AD141" s="3"/>
    </row>
    <row r="142" spans="25:30" ht="12.95" customHeight="1" x14ac:dyDescent="0.25">
      <c r="Y142" s="1"/>
      <c r="Z142" s="1"/>
      <c r="AC142" s="3"/>
      <c r="AD142" s="3"/>
    </row>
    <row r="143" spans="25:30" ht="12.95" customHeight="1" x14ac:dyDescent="0.25">
      <c r="Y143" s="1"/>
      <c r="Z143" s="1"/>
      <c r="AC143" s="3"/>
      <c r="AD143" s="3"/>
    </row>
    <row r="144" spans="25:30" ht="12.95" customHeight="1" x14ac:dyDescent="0.25">
      <c r="Y144" s="1"/>
      <c r="Z144" s="1"/>
      <c r="AC144" s="3"/>
      <c r="AD144" s="3"/>
    </row>
    <row r="145" spans="25:30" ht="12.95" customHeight="1" x14ac:dyDescent="0.25">
      <c r="Y145" s="1"/>
      <c r="Z145" s="1"/>
      <c r="AC145" s="3"/>
      <c r="AD145" s="3"/>
    </row>
    <row r="146" spans="25:30" ht="12.95" customHeight="1" x14ac:dyDescent="0.25">
      <c r="Y146" s="1"/>
      <c r="Z146" s="1"/>
      <c r="AC146" s="3"/>
      <c r="AD146" s="3"/>
    </row>
    <row r="147" spans="25:30" ht="12.95" customHeight="1" x14ac:dyDescent="0.25">
      <c r="Y147" s="1"/>
      <c r="Z147" s="1"/>
      <c r="AC147" s="3"/>
      <c r="AD147" s="3"/>
    </row>
    <row r="148" spans="25:30" ht="12.95" customHeight="1" x14ac:dyDescent="0.25">
      <c r="Y148" s="1"/>
      <c r="Z148" s="1"/>
      <c r="AC148" s="3"/>
      <c r="AD148" s="3"/>
    </row>
    <row r="149" spans="25:30" ht="12.95" customHeight="1" x14ac:dyDescent="0.25">
      <c r="Y149" s="1"/>
      <c r="Z149" s="1"/>
      <c r="AC149" s="3"/>
      <c r="AD149" s="3"/>
    </row>
    <row r="150" spans="25:30" ht="12.95" customHeight="1" x14ac:dyDescent="0.25">
      <c r="Y150" s="1"/>
      <c r="Z150" s="1"/>
      <c r="AC150" s="3"/>
      <c r="AD150" s="3"/>
    </row>
    <row r="151" spans="25:30" ht="12.95" customHeight="1" x14ac:dyDescent="0.25">
      <c r="Y151" s="1"/>
      <c r="Z151" s="1"/>
      <c r="AC151" s="3"/>
      <c r="AD151" s="3"/>
    </row>
    <row r="152" spans="25:30" ht="12.95" customHeight="1" x14ac:dyDescent="0.25">
      <c r="Y152" s="1"/>
      <c r="Z152" s="1"/>
      <c r="AC152" s="3"/>
      <c r="AD152" s="3"/>
    </row>
    <row r="153" spans="25:30" ht="12.95" customHeight="1" x14ac:dyDescent="0.25">
      <c r="Y153" s="1"/>
      <c r="Z153" s="1"/>
      <c r="AC153" s="3"/>
      <c r="AD153" s="3"/>
    </row>
    <row r="154" spans="25:30" ht="12.95" customHeight="1" x14ac:dyDescent="0.25">
      <c r="Y154" s="1"/>
      <c r="Z154" s="1"/>
      <c r="AC154" s="3"/>
      <c r="AD154" s="3"/>
    </row>
    <row r="155" spans="25:30" ht="12.95" customHeight="1" x14ac:dyDescent="0.25">
      <c r="Y155" s="1"/>
      <c r="Z155" s="1"/>
      <c r="AC155" s="3"/>
      <c r="AD155" s="3"/>
    </row>
    <row r="156" spans="25:30" ht="12.95" customHeight="1" x14ac:dyDescent="0.25">
      <c r="Y156" s="1"/>
      <c r="Z156" s="1"/>
      <c r="AC156" s="3"/>
      <c r="AD156" s="3"/>
    </row>
    <row r="157" spans="25:30" ht="12.95" customHeight="1" x14ac:dyDescent="0.25">
      <c r="Y157" s="1"/>
      <c r="Z157" s="1"/>
      <c r="AC157" s="3"/>
      <c r="AD157" s="3"/>
    </row>
    <row r="158" spans="25:30" ht="12.95" customHeight="1" x14ac:dyDescent="0.25">
      <c r="Y158" s="1"/>
      <c r="Z158" s="1"/>
      <c r="AC158" s="3"/>
      <c r="AD158" s="3"/>
    </row>
    <row r="159" spans="25:30" ht="12.95" customHeight="1" x14ac:dyDescent="0.25">
      <c r="Y159" s="1"/>
      <c r="Z159" s="1"/>
      <c r="AC159" s="3"/>
      <c r="AD159" s="3"/>
    </row>
    <row r="160" spans="25:30" ht="12.95" customHeight="1" x14ac:dyDescent="0.25">
      <c r="Y160" s="1"/>
      <c r="Z160" s="1"/>
      <c r="AC160" s="3"/>
      <c r="AD160" s="3"/>
    </row>
    <row r="161" spans="25:30" ht="12.95" customHeight="1" x14ac:dyDescent="0.25">
      <c r="Y161" s="1"/>
      <c r="Z161" s="1"/>
      <c r="AC161" s="3"/>
      <c r="AD161" s="3"/>
    </row>
    <row r="162" spans="25:30" ht="12.95" customHeight="1" x14ac:dyDescent="0.25">
      <c r="Y162" s="1"/>
      <c r="Z162" s="1"/>
      <c r="AC162" s="3"/>
      <c r="AD162" s="3"/>
    </row>
    <row r="163" spans="25:30" ht="12.95" customHeight="1" x14ac:dyDescent="0.25">
      <c r="Y163" s="1"/>
      <c r="Z163" s="1"/>
      <c r="AC163" s="3"/>
      <c r="AD163" s="3"/>
    </row>
    <row r="164" spans="25:30" ht="12.95" customHeight="1" x14ac:dyDescent="0.25">
      <c r="Y164" s="1"/>
      <c r="Z164" s="1"/>
      <c r="AC164" s="3"/>
      <c r="AD164" s="3"/>
    </row>
    <row r="165" spans="25:30" ht="12.95" customHeight="1" x14ac:dyDescent="0.25">
      <c r="Y165" s="1"/>
      <c r="Z165" s="1"/>
      <c r="AC165" s="3"/>
      <c r="AD165" s="3"/>
    </row>
    <row r="166" spans="25:30" ht="12.95" customHeight="1" x14ac:dyDescent="0.25">
      <c r="Y166" s="1"/>
      <c r="Z166" s="1"/>
      <c r="AC166" s="3"/>
      <c r="AD166" s="3"/>
    </row>
    <row r="167" spans="25:30" ht="12.95" customHeight="1" x14ac:dyDescent="0.25">
      <c r="Y167" s="1"/>
      <c r="Z167" s="1"/>
      <c r="AC167" s="3"/>
      <c r="AD167" s="3"/>
    </row>
    <row r="168" spans="25:30" ht="12.95" customHeight="1" x14ac:dyDescent="0.25">
      <c r="Y168" s="1"/>
      <c r="Z168" s="1"/>
      <c r="AC168" s="3"/>
      <c r="AD168" s="3"/>
    </row>
    <row r="169" spans="25:30" ht="12.95" customHeight="1" x14ac:dyDescent="0.25">
      <c r="Y169" s="1"/>
      <c r="Z169" s="1"/>
      <c r="AC169" s="3"/>
      <c r="AD169" s="3"/>
    </row>
    <row r="170" spans="25:30" ht="12.95" customHeight="1" x14ac:dyDescent="0.25">
      <c r="Y170" s="1"/>
      <c r="Z170" s="1"/>
      <c r="AC170" s="3"/>
      <c r="AD170" s="3"/>
    </row>
    <row r="171" spans="25:30" ht="12.95" customHeight="1" x14ac:dyDescent="0.25">
      <c r="Y171" s="1"/>
      <c r="Z171" s="1"/>
      <c r="AC171" s="3"/>
      <c r="AD171" s="3"/>
    </row>
  </sheetData>
  <sheetProtection algorithmName="SHA-512" hashValue="StL5Wk8HTZrnoZF+2Dgq7SCIomLTX4/xk3OaPVYxWca9AyDC256Y4SyS9QMiuKm8TFbtCur6Ky9hoG+SIGHB0g==" saltValue="Eei0e877O6J0wfrqrEnkCA==" spinCount="100000" sheet="1" selectLockedCells="1"/>
  <mergeCells count="27">
    <mergeCell ref="H22:I22"/>
    <mergeCell ref="G4:H4"/>
    <mergeCell ref="C5:D5"/>
    <mergeCell ref="C6:D6"/>
    <mergeCell ref="C4:E4"/>
    <mergeCell ref="C7:D7"/>
    <mergeCell ref="C9:D9"/>
    <mergeCell ref="C10:D10"/>
    <mergeCell ref="C11:D11"/>
    <mergeCell ref="C12:D12"/>
    <mergeCell ref="E9:E12"/>
    <mergeCell ref="B1:E1"/>
    <mergeCell ref="B2:E2"/>
    <mergeCell ref="B63:D63"/>
    <mergeCell ref="B39:C39"/>
    <mergeCell ref="B40:C40"/>
    <mergeCell ref="C13:D13"/>
    <mergeCell ref="C14:D14"/>
    <mergeCell ref="C15:D15"/>
    <mergeCell ref="C16:D16"/>
    <mergeCell ref="C17:D17"/>
    <mergeCell ref="C18:D18"/>
    <mergeCell ref="C43:D43"/>
    <mergeCell ref="B60:C60"/>
    <mergeCell ref="B61:C61"/>
    <mergeCell ref="C8:D8"/>
    <mergeCell ref="E15:G15"/>
  </mergeCells>
  <dataValidations xWindow="874" yWindow="233" count="12">
    <dataValidation type="list" allowBlank="1" showInputMessage="1" showErrorMessage="1" promptTitle="Nómina con Paga Extra" prompt=" " sqref="C65544">
      <formula1>#REF!</formula1>
    </dataValidation>
    <dataValidation type="list" allowBlank="1" showInputMessage="1" showErrorMessage="1" promptTitle="Destino en Isla No Capitalina" prompt=" " sqref="C65542">
      <formula1>#REF!</formula1>
    </dataValidation>
    <dataValidation type="list" allowBlank="1" showErrorMessage="1" promptTitle="DESTINO EN ISLA NO CAPITALINA" prompt="-Si se tienen destino en una isla capitalina, seleccionar = N_x000a_-Si se tiene destino en una isla no capitalina, seleccionar = S" sqref="C16">
      <formula1>$N$70:$N$71</formula1>
    </dataValidation>
    <dataValidation type="list" allowBlank="1" showErrorMessage="1" promptTitle="PRIMERO Y SEGUNDO DE LA ESO" prompt="Introducir lo que corresponda" sqref="C14">
      <formula1>$N$70:$N$71</formula1>
    </dataValidation>
    <dataValidation type="list" allowBlank="1" showErrorMessage="1" promptTitle="AÑOS DE SERVICIO" prompt="Seleccionar el número de años de servicio a efectos de trienio" sqref="C13">
      <formula1>$O$70:$O$120</formula1>
    </dataValidation>
    <dataValidation type="list" allowBlank="1" showInputMessage="1" showErrorMessage="1" sqref="B39:B40">
      <formula1>$R$70:$R$122</formula1>
    </dataValidation>
    <dataValidation type="list" allowBlank="1" showInputMessage="1" showErrorMessage="1" sqref="C6:D6">
      <formula1>$AI$70:$AI$72</formula1>
    </dataValidation>
    <dataValidation type="list" allowBlank="1" showInputMessage="1" showErrorMessage="1" sqref="C4">
      <formula1>$AI$94:$AI$102</formula1>
    </dataValidation>
    <dataValidation type="list" allowBlank="1" showInputMessage="1" showErrorMessage="1" sqref="C5:D5">
      <formula1>$AI$75:$AI$92</formula1>
    </dataValidation>
    <dataValidation type="list" allowBlank="1" showInputMessage="1" showErrorMessage="1" sqref="C18:D18">
      <formula1>$O$70:$O$90</formula1>
    </dataValidation>
    <dataValidation type="list" allowBlank="1" showInputMessage="1" showErrorMessage="1" sqref="C8:D8">
      <formula1>$O$71:$O$100</formula1>
    </dataValidation>
    <dataValidation type="list" allowBlank="1" showErrorMessage="1" promptTitle="NÓMINA CON PAGA EXTRA" prompt="- Si la nómina no incluye la paga extra, seleccionar = N_x000a_- Si la nómina incluye la paga extra de Junio, seleccionar = Junio_x000a_- Si la nómina incluye la paga extra de Diciembre, seleccionar = Diciembre" sqref="C15:D15">
      <formula1>$N$73:$N$76</formula1>
    </dataValidation>
  </dataValidations>
  <pageMargins left="0.31496062992125984" right="0.31496062992125984" top="0.35433070866141736" bottom="0.35433070866141736" header="0.31496062992125984" footer="0.31496062992125984"/>
  <pageSetup paperSize="9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Q57"/>
  <sheetViews>
    <sheetView workbookViewId="0">
      <selection activeCell="A24" sqref="A24:XFD45"/>
    </sheetView>
  </sheetViews>
  <sheetFormatPr baseColWidth="10" defaultRowHeight="15" x14ac:dyDescent="0.25"/>
  <cols>
    <col min="1" max="1" width="82.85546875" style="119" customWidth="1"/>
    <col min="2" max="2" width="11.85546875" style="119" bestFit="1" customWidth="1"/>
    <col min="3" max="3" width="11.85546875" style="119" hidden="1" customWidth="1"/>
    <col min="4" max="4" width="4" style="119" hidden="1" customWidth="1"/>
    <col min="5" max="5" width="13.28515625" style="119" hidden="1" customWidth="1"/>
    <col min="6" max="6" width="7.42578125" style="119" hidden="1" customWidth="1"/>
    <col min="7" max="7" width="9.7109375" style="119" hidden="1" customWidth="1"/>
    <col min="8" max="9" width="10.7109375" style="119" hidden="1" customWidth="1"/>
    <col min="10" max="10" width="44.5703125" style="119" hidden="1" customWidth="1"/>
    <col min="11" max="11" width="10.7109375" style="119" hidden="1" customWidth="1"/>
    <col min="12" max="12" width="33.5703125" style="119" hidden="1" customWidth="1"/>
    <col min="13" max="13" width="2" style="119" hidden="1" customWidth="1"/>
    <col min="14" max="15" width="0" style="119" hidden="1" customWidth="1"/>
    <col min="16" max="257" width="11.42578125" style="119"/>
    <col min="258" max="258" width="82.85546875" style="119" customWidth="1"/>
    <col min="259" max="259" width="10.42578125" style="119" customWidth="1"/>
    <col min="260" max="260" width="14.28515625" style="119" customWidth="1"/>
    <col min="261" max="262" width="13.28515625" style="119" bestFit="1" customWidth="1"/>
    <col min="263" max="263" width="12.140625" style="119" bestFit="1" customWidth="1"/>
    <col min="264" max="264" width="10.7109375" style="119" bestFit="1" customWidth="1"/>
    <col min="265" max="267" width="11.42578125" style="119"/>
    <col min="268" max="268" width="12" style="119" bestFit="1" customWidth="1"/>
    <col min="269" max="269" width="15.5703125" style="119" customWidth="1"/>
    <col min="270" max="513" width="11.42578125" style="119"/>
    <col min="514" max="514" width="82.85546875" style="119" customWidth="1"/>
    <col min="515" max="515" width="10.42578125" style="119" customWidth="1"/>
    <col min="516" max="516" width="14.28515625" style="119" customWidth="1"/>
    <col min="517" max="518" width="13.28515625" style="119" bestFit="1" customWidth="1"/>
    <col min="519" max="519" width="12.140625" style="119" bestFit="1" customWidth="1"/>
    <col min="520" max="520" width="10.7109375" style="119" bestFit="1" customWidth="1"/>
    <col min="521" max="523" width="11.42578125" style="119"/>
    <col min="524" max="524" width="12" style="119" bestFit="1" customWidth="1"/>
    <col min="525" max="525" width="15.5703125" style="119" customWidth="1"/>
    <col min="526" max="769" width="11.42578125" style="119"/>
    <col min="770" max="770" width="82.85546875" style="119" customWidth="1"/>
    <col min="771" max="771" width="10.42578125" style="119" customWidth="1"/>
    <col min="772" max="772" width="14.28515625" style="119" customWidth="1"/>
    <col min="773" max="774" width="13.28515625" style="119" bestFit="1" customWidth="1"/>
    <col min="775" max="775" width="12.140625" style="119" bestFit="1" customWidth="1"/>
    <col min="776" max="776" width="10.7109375" style="119" bestFit="1" customWidth="1"/>
    <col min="777" max="779" width="11.42578125" style="119"/>
    <col min="780" max="780" width="12" style="119" bestFit="1" customWidth="1"/>
    <col min="781" max="781" width="15.5703125" style="119" customWidth="1"/>
    <col min="782" max="1025" width="11.42578125" style="119"/>
    <col min="1026" max="1026" width="82.85546875" style="119" customWidth="1"/>
    <col min="1027" max="1027" width="10.42578125" style="119" customWidth="1"/>
    <col min="1028" max="1028" width="14.28515625" style="119" customWidth="1"/>
    <col min="1029" max="1030" width="13.28515625" style="119" bestFit="1" customWidth="1"/>
    <col min="1031" max="1031" width="12.140625" style="119" bestFit="1" customWidth="1"/>
    <col min="1032" max="1032" width="10.7109375" style="119" bestFit="1" customWidth="1"/>
    <col min="1033" max="1035" width="11.42578125" style="119"/>
    <col min="1036" max="1036" width="12" style="119" bestFit="1" customWidth="1"/>
    <col min="1037" max="1037" width="15.5703125" style="119" customWidth="1"/>
    <col min="1038" max="1281" width="11.42578125" style="119"/>
    <col min="1282" max="1282" width="82.85546875" style="119" customWidth="1"/>
    <col min="1283" max="1283" width="10.42578125" style="119" customWidth="1"/>
    <col min="1284" max="1284" width="14.28515625" style="119" customWidth="1"/>
    <col min="1285" max="1286" width="13.28515625" style="119" bestFit="1" customWidth="1"/>
    <col min="1287" max="1287" width="12.140625" style="119" bestFit="1" customWidth="1"/>
    <col min="1288" max="1288" width="10.7109375" style="119" bestFit="1" customWidth="1"/>
    <col min="1289" max="1291" width="11.42578125" style="119"/>
    <col min="1292" max="1292" width="12" style="119" bestFit="1" customWidth="1"/>
    <col min="1293" max="1293" width="15.5703125" style="119" customWidth="1"/>
    <col min="1294" max="1537" width="11.42578125" style="119"/>
    <col min="1538" max="1538" width="82.85546875" style="119" customWidth="1"/>
    <col min="1539" max="1539" width="10.42578125" style="119" customWidth="1"/>
    <col min="1540" max="1540" width="14.28515625" style="119" customWidth="1"/>
    <col min="1541" max="1542" width="13.28515625" style="119" bestFit="1" customWidth="1"/>
    <col min="1543" max="1543" width="12.140625" style="119" bestFit="1" customWidth="1"/>
    <col min="1544" max="1544" width="10.7109375" style="119" bestFit="1" customWidth="1"/>
    <col min="1545" max="1547" width="11.42578125" style="119"/>
    <col min="1548" max="1548" width="12" style="119" bestFit="1" customWidth="1"/>
    <col min="1549" max="1549" width="15.5703125" style="119" customWidth="1"/>
    <col min="1550" max="1793" width="11.42578125" style="119"/>
    <col min="1794" max="1794" width="82.85546875" style="119" customWidth="1"/>
    <col min="1795" max="1795" width="10.42578125" style="119" customWidth="1"/>
    <col min="1796" max="1796" width="14.28515625" style="119" customWidth="1"/>
    <col min="1797" max="1798" width="13.28515625" style="119" bestFit="1" customWidth="1"/>
    <col min="1799" max="1799" width="12.140625" style="119" bestFit="1" customWidth="1"/>
    <col min="1800" max="1800" width="10.7109375" style="119" bestFit="1" customWidth="1"/>
    <col min="1801" max="1803" width="11.42578125" style="119"/>
    <col min="1804" max="1804" width="12" style="119" bestFit="1" customWidth="1"/>
    <col min="1805" max="1805" width="15.5703125" style="119" customWidth="1"/>
    <col min="1806" max="2049" width="11.42578125" style="119"/>
    <col min="2050" max="2050" width="82.85546875" style="119" customWidth="1"/>
    <col min="2051" max="2051" width="10.42578125" style="119" customWidth="1"/>
    <col min="2052" max="2052" width="14.28515625" style="119" customWidth="1"/>
    <col min="2053" max="2054" width="13.28515625" style="119" bestFit="1" customWidth="1"/>
    <col min="2055" max="2055" width="12.140625" style="119" bestFit="1" customWidth="1"/>
    <col min="2056" max="2056" width="10.7109375" style="119" bestFit="1" customWidth="1"/>
    <col min="2057" max="2059" width="11.42578125" style="119"/>
    <col min="2060" max="2060" width="12" style="119" bestFit="1" customWidth="1"/>
    <col min="2061" max="2061" width="15.5703125" style="119" customWidth="1"/>
    <col min="2062" max="2305" width="11.42578125" style="119"/>
    <col min="2306" max="2306" width="82.85546875" style="119" customWidth="1"/>
    <col min="2307" max="2307" width="10.42578125" style="119" customWidth="1"/>
    <col min="2308" max="2308" width="14.28515625" style="119" customWidth="1"/>
    <col min="2309" max="2310" width="13.28515625" style="119" bestFit="1" customWidth="1"/>
    <col min="2311" max="2311" width="12.140625" style="119" bestFit="1" customWidth="1"/>
    <col min="2312" max="2312" width="10.7109375" style="119" bestFit="1" customWidth="1"/>
    <col min="2313" max="2315" width="11.42578125" style="119"/>
    <col min="2316" max="2316" width="12" style="119" bestFit="1" customWidth="1"/>
    <col min="2317" max="2317" width="15.5703125" style="119" customWidth="1"/>
    <col min="2318" max="2561" width="11.42578125" style="119"/>
    <col min="2562" max="2562" width="82.85546875" style="119" customWidth="1"/>
    <col min="2563" max="2563" width="10.42578125" style="119" customWidth="1"/>
    <col min="2564" max="2564" width="14.28515625" style="119" customWidth="1"/>
    <col min="2565" max="2566" width="13.28515625" style="119" bestFit="1" customWidth="1"/>
    <col min="2567" max="2567" width="12.140625" style="119" bestFit="1" customWidth="1"/>
    <col min="2568" max="2568" width="10.7109375" style="119" bestFit="1" customWidth="1"/>
    <col min="2569" max="2571" width="11.42578125" style="119"/>
    <col min="2572" max="2572" width="12" style="119" bestFit="1" customWidth="1"/>
    <col min="2573" max="2573" width="15.5703125" style="119" customWidth="1"/>
    <col min="2574" max="2817" width="11.42578125" style="119"/>
    <col min="2818" max="2818" width="82.85546875" style="119" customWidth="1"/>
    <col min="2819" max="2819" width="10.42578125" style="119" customWidth="1"/>
    <col min="2820" max="2820" width="14.28515625" style="119" customWidth="1"/>
    <col min="2821" max="2822" width="13.28515625" style="119" bestFit="1" customWidth="1"/>
    <col min="2823" max="2823" width="12.140625" style="119" bestFit="1" customWidth="1"/>
    <col min="2824" max="2824" width="10.7109375" style="119" bestFit="1" customWidth="1"/>
    <col min="2825" max="2827" width="11.42578125" style="119"/>
    <col min="2828" max="2828" width="12" style="119" bestFit="1" customWidth="1"/>
    <col min="2829" max="2829" width="15.5703125" style="119" customWidth="1"/>
    <col min="2830" max="3073" width="11.42578125" style="119"/>
    <col min="3074" max="3074" width="82.85546875" style="119" customWidth="1"/>
    <col min="3075" max="3075" width="10.42578125" style="119" customWidth="1"/>
    <col min="3076" max="3076" width="14.28515625" style="119" customWidth="1"/>
    <col min="3077" max="3078" width="13.28515625" style="119" bestFit="1" customWidth="1"/>
    <col min="3079" max="3079" width="12.140625" style="119" bestFit="1" customWidth="1"/>
    <col min="3080" max="3080" width="10.7109375" style="119" bestFit="1" customWidth="1"/>
    <col min="3081" max="3083" width="11.42578125" style="119"/>
    <col min="3084" max="3084" width="12" style="119" bestFit="1" customWidth="1"/>
    <col min="3085" max="3085" width="15.5703125" style="119" customWidth="1"/>
    <col min="3086" max="3329" width="11.42578125" style="119"/>
    <col min="3330" max="3330" width="82.85546875" style="119" customWidth="1"/>
    <col min="3331" max="3331" width="10.42578125" style="119" customWidth="1"/>
    <col min="3332" max="3332" width="14.28515625" style="119" customWidth="1"/>
    <col min="3333" max="3334" width="13.28515625" style="119" bestFit="1" customWidth="1"/>
    <col min="3335" max="3335" width="12.140625" style="119" bestFit="1" customWidth="1"/>
    <col min="3336" max="3336" width="10.7109375" style="119" bestFit="1" customWidth="1"/>
    <col min="3337" max="3339" width="11.42578125" style="119"/>
    <col min="3340" max="3340" width="12" style="119" bestFit="1" customWidth="1"/>
    <col min="3341" max="3341" width="15.5703125" style="119" customWidth="1"/>
    <col min="3342" max="3585" width="11.42578125" style="119"/>
    <col min="3586" max="3586" width="82.85546875" style="119" customWidth="1"/>
    <col min="3587" max="3587" width="10.42578125" style="119" customWidth="1"/>
    <col min="3588" max="3588" width="14.28515625" style="119" customWidth="1"/>
    <col min="3589" max="3590" width="13.28515625" style="119" bestFit="1" customWidth="1"/>
    <col min="3591" max="3591" width="12.140625" style="119" bestFit="1" customWidth="1"/>
    <col min="3592" max="3592" width="10.7109375" style="119" bestFit="1" customWidth="1"/>
    <col min="3593" max="3595" width="11.42578125" style="119"/>
    <col min="3596" max="3596" width="12" style="119" bestFit="1" customWidth="1"/>
    <col min="3597" max="3597" width="15.5703125" style="119" customWidth="1"/>
    <col min="3598" max="3841" width="11.42578125" style="119"/>
    <col min="3842" max="3842" width="82.85546875" style="119" customWidth="1"/>
    <col min="3843" max="3843" width="10.42578125" style="119" customWidth="1"/>
    <col min="3844" max="3844" width="14.28515625" style="119" customWidth="1"/>
    <col min="3845" max="3846" width="13.28515625" style="119" bestFit="1" customWidth="1"/>
    <col min="3847" max="3847" width="12.140625" style="119" bestFit="1" customWidth="1"/>
    <col min="3848" max="3848" width="10.7109375" style="119" bestFit="1" customWidth="1"/>
    <col min="3849" max="3851" width="11.42578125" style="119"/>
    <col min="3852" max="3852" width="12" style="119" bestFit="1" customWidth="1"/>
    <col min="3853" max="3853" width="15.5703125" style="119" customWidth="1"/>
    <col min="3854" max="4097" width="11.42578125" style="119"/>
    <col min="4098" max="4098" width="82.85546875" style="119" customWidth="1"/>
    <col min="4099" max="4099" width="10.42578125" style="119" customWidth="1"/>
    <col min="4100" max="4100" width="14.28515625" style="119" customWidth="1"/>
    <col min="4101" max="4102" width="13.28515625" style="119" bestFit="1" customWidth="1"/>
    <col min="4103" max="4103" width="12.140625" style="119" bestFit="1" customWidth="1"/>
    <col min="4104" max="4104" width="10.7109375" style="119" bestFit="1" customWidth="1"/>
    <col min="4105" max="4107" width="11.42578125" style="119"/>
    <col min="4108" max="4108" width="12" style="119" bestFit="1" customWidth="1"/>
    <col min="4109" max="4109" width="15.5703125" style="119" customWidth="1"/>
    <col min="4110" max="4353" width="11.42578125" style="119"/>
    <col min="4354" max="4354" width="82.85546875" style="119" customWidth="1"/>
    <col min="4355" max="4355" width="10.42578125" style="119" customWidth="1"/>
    <col min="4356" max="4356" width="14.28515625" style="119" customWidth="1"/>
    <col min="4357" max="4358" width="13.28515625" style="119" bestFit="1" customWidth="1"/>
    <col min="4359" max="4359" width="12.140625" style="119" bestFit="1" customWidth="1"/>
    <col min="4360" max="4360" width="10.7109375" style="119" bestFit="1" customWidth="1"/>
    <col min="4361" max="4363" width="11.42578125" style="119"/>
    <col min="4364" max="4364" width="12" style="119" bestFit="1" customWidth="1"/>
    <col min="4365" max="4365" width="15.5703125" style="119" customWidth="1"/>
    <col min="4366" max="4609" width="11.42578125" style="119"/>
    <col min="4610" max="4610" width="82.85546875" style="119" customWidth="1"/>
    <col min="4611" max="4611" width="10.42578125" style="119" customWidth="1"/>
    <col min="4612" max="4612" width="14.28515625" style="119" customWidth="1"/>
    <col min="4613" max="4614" width="13.28515625" style="119" bestFit="1" customWidth="1"/>
    <col min="4615" max="4615" width="12.140625" style="119" bestFit="1" customWidth="1"/>
    <col min="4616" max="4616" width="10.7109375" style="119" bestFit="1" customWidth="1"/>
    <col min="4617" max="4619" width="11.42578125" style="119"/>
    <col min="4620" max="4620" width="12" style="119" bestFit="1" customWidth="1"/>
    <col min="4621" max="4621" width="15.5703125" style="119" customWidth="1"/>
    <col min="4622" max="4865" width="11.42578125" style="119"/>
    <col min="4866" max="4866" width="82.85546875" style="119" customWidth="1"/>
    <col min="4867" max="4867" width="10.42578125" style="119" customWidth="1"/>
    <col min="4868" max="4868" width="14.28515625" style="119" customWidth="1"/>
    <col min="4869" max="4870" width="13.28515625" style="119" bestFit="1" customWidth="1"/>
    <col min="4871" max="4871" width="12.140625" style="119" bestFit="1" customWidth="1"/>
    <col min="4872" max="4872" width="10.7109375" style="119" bestFit="1" customWidth="1"/>
    <col min="4873" max="4875" width="11.42578125" style="119"/>
    <col min="4876" max="4876" width="12" style="119" bestFit="1" customWidth="1"/>
    <col min="4877" max="4877" width="15.5703125" style="119" customWidth="1"/>
    <col min="4878" max="5121" width="11.42578125" style="119"/>
    <col min="5122" max="5122" width="82.85546875" style="119" customWidth="1"/>
    <col min="5123" max="5123" width="10.42578125" style="119" customWidth="1"/>
    <col min="5124" max="5124" width="14.28515625" style="119" customWidth="1"/>
    <col min="5125" max="5126" width="13.28515625" style="119" bestFit="1" customWidth="1"/>
    <col min="5127" max="5127" width="12.140625" style="119" bestFit="1" customWidth="1"/>
    <col min="5128" max="5128" width="10.7109375" style="119" bestFit="1" customWidth="1"/>
    <col min="5129" max="5131" width="11.42578125" style="119"/>
    <col min="5132" max="5132" width="12" style="119" bestFit="1" customWidth="1"/>
    <col min="5133" max="5133" width="15.5703125" style="119" customWidth="1"/>
    <col min="5134" max="5377" width="11.42578125" style="119"/>
    <col min="5378" max="5378" width="82.85546875" style="119" customWidth="1"/>
    <col min="5379" max="5379" width="10.42578125" style="119" customWidth="1"/>
    <col min="5380" max="5380" width="14.28515625" style="119" customWidth="1"/>
    <col min="5381" max="5382" width="13.28515625" style="119" bestFit="1" customWidth="1"/>
    <col min="5383" max="5383" width="12.140625" style="119" bestFit="1" customWidth="1"/>
    <col min="5384" max="5384" width="10.7109375" style="119" bestFit="1" customWidth="1"/>
    <col min="5385" max="5387" width="11.42578125" style="119"/>
    <col min="5388" max="5388" width="12" style="119" bestFit="1" customWidth="1"/>
    <col min="5389" max="5389" width="15.5703125" style="119" customWidth="1"/>
    <col min="5390" max="5633" width="11.42578125" style="119"/>
    <col min="5634" max="5634" width="82.85546875" style="119" customWidth="1"/>
    <col min="5635" max="5635" width="10.42578125" style="119" customWidth="1"/>
    <col min="5636" max="5636" width="14.28515625" style="119" customWidth="1"/>
    <col min="5637" max="5638" width="13.28515625" style="119" bestFit="1" customWidth="1"/>
    <col min="5639" max="5639" width="12.140625" style="119" bestFit="1" customWidth="1"/>
    <col min="5640" max="5640" width="10.7109375" style="119" bestFit="1" customWidth="1"/>
    <col min="5641" max="5643" width="11.42578125" style="119"/>
    <col min="5644" max="5644" width="12" style="119" bestFit="1" customWidth="1"/>
    <col min="5645" max="5645" width="15.5703125" style="119" customWidth="1"/>
    <col min="5646" max="5889" width="11.42578125" style="119"/>
    <col min="5890" max="5890" width="82.85546875" style="119" customWidth="1"/>
    <col min="5891" max="5891" width="10.42578125" style="119" customWidth="1"/>
    <col min="5892" max="5892" width="14.28515625" style="119" customWidth="1"/>
    <col min="5893" max="5894" width="13.28515625" style="119" bestFit="1" customWidth="1"/>
    <col min="5895" max="5895" width="12.140625" style="119" bestFit="1" customWidth="1"/>
    <col min="5896" max="5896" width="10.7109375" style="119" bestFit="1" customWidth="1"/>
    <col min="5897" max="5899" width="11.42578125" style="119"/>
    <col min="5900" max="5900" width="12" style="119" bestFit="1" customWidth="1"/>
    <col min="5901" max="5901" width="15.5703125" style="119" customWidth="1"/>
    <col min="5902" max="6145" width="11.42578125" style="119"/>
    <col min="6146" max="6146" width="82.85546875" style="119" customWidth="1"/>
    <col min="6147" max="6147" width="10.42578125" style="119" customWidth="1"/>
    <col min="6148" max="6148" width="14.28515625" style="119" customWidth="1"/>
    <col min="6149" max="6150" width="13.28515625" style="119" bestFit="1" customWidth="1"/>
    <col min="6151" max="6151" width="12.140625" style="119" bestFit="1" customWidth="1"/>
    <col min="6152" max="6152" width="10.7109375" style="119" bestFit="1" customWidth="1"/>
    <col min="6153" max="6155" width="11.42578125" style="119"/>
    <col min="6156" max="6156" width="12" style="119" bestFit="1" customWidth="1"/>
    <col min="6157" max="6157" width="15.5703125" style="119" customWidth="1"/>
    <col min="6158" max="6401" width="11.42578125" style="119"/>
    <col min="6402" max="6402" width="82.85546875" style="119" customWidth="1"/>
    <col min="6403" max="6403" width="10.42578125" style="119" customWidth="1"/>
    <col min="6404" max="6404" width="14.28515625" style="119" customWidth="1"/>
    <col min="6405" max="6406" width="13.28515625" style="119" bestFit="1" customWidth="1"/>
    <col min="6407" max="6407" width="12.140625" style="119" bestFit="1" customWidth="1"/>
    <col min="6408" max="6408" width="10.7109375" style="119" bestFit="1" customWidth="1"/>
    <col min="6409" max="6411" width="11.42578125" style="119"/>
    <col min="6412" max="6412" width="12" style="119" bestFit="1" customWidth="1"/>
    <col min="6413" max="6413" width="15.5703125" style="119" customWidth="1"/>
    <col min="6414" max="6657" width="11.42578125" style="119"/>
    <col min="6658" max="6658" width="82.85546875" style="119" customWidth="1"/>
    <col min="6659" max="6659" width="10.42578125" style="119" customWidth="1"/>
    <col min="6660" max="6660" width="14.28515625" style="119" customWidth="1"/>
    <col min="6661" max="6662" width="13.28515625" style="119" bestFit="1" customWidth="1"/>
    <col min="6663" max="6663" width="12.140625" style="119" bestFit="1" customWidth="1"/>
    <col min="6664" max="6664" width="10.7109375" style="119" bestFit="1" customWidth="1"/>
    <col min="6665" max="6667" width="11.42578125" style="119"/>
    <col min="6668" max="6668" width="12" style="119" bestFit="1" customWidth="1"/>
    <col min="6669" max="6669" width="15.5703125" style="119" customWidth="1"/>
    <col min="6670" max="6913" width="11.42578125" style="119"/>
    <col min="6914" max="6914" width="82.85546875" style="119" customWidth="1"/>
    <col min="6915" max="6915" width="10.42578125" style="119" customWidth="1"/>
    <col min="6916" max="6916" width="14.28515625" style="119" customWidth="1"/>
    <col min="6917" max="6918" width="13.28515625" style="119" bestFit="1" customWidth="1"/>
    <col min="6919" max="6919" width="12.140625" style="119" bestFit="1" customWidth="1"/>
    <col min="6920" max="6920" width="10.7109375" style="119" bestFit="1" customWidth="1"/>
    <col min="6921" max="6923" width="11.42578125" style="119"/>
    <col min="6924" max="6924" width="12" style="119" bestFit="1" customWidth="1"/>
    <col min="6925" max="6925" width="15.5703125" style="119" customWidth="1"/>
    <col min="6926" max="7169" width="11.42578125" style="119"/>
    <col min="7170" max="7170" width="82.85546875" style="119" customWidth="1"/>
    <col min="7171" max="7171" width="10.42578125" style="119" customWidth="1"/>
    <col min="7172" max="7172" width="14.28515625" style="119" customWidth="1"/>
    <col min="7173" max="7174" width="13.28515625" style="119" bestFit="1" customWidth="1"/>
    <col min="7175" max="7175" width="12.140625" style="119" bestFit="1" customWidth="1"/>
    <col min="7176" max="7176" width="10.7109375" style="119" bestFit="1" customWidth="1"/>
    <col min="7177" max="7179" width="11.42578125" style="119"/>
    <col min="7180" max="7180" width="12" style="119" bestFit="1" customWidth="1"/>
    <col min="7181" max="7181" width="15.5703125" style="119" customWidth="1"/>
    <col min="7182" max="7425" width="11.42578125" style="119"/>
    <col min="7426" max="7426" width="82.85546875" style="119" customWidth="1"/>
    <col min="7427" max="7427" width="10.42578125" style="119" customWidth="1"/>
    <col min="7428" max="7428" width="14.28515625" style="119" customWidth="1"/>
    <col min="7429" max="7430" width="13.28515625" style="119" bestFit="1" customWidth="1"/>
    <col min="7431" max="7431" width="12.140625" style="119" bestFit="1" customWidth="1"/>
    <col min="7432" max="7432" width="10.7109375" style="119" bestFit="1" customWidth="1"/>
    <col min="7433" max="7435" width="11.42578125" style="119"/>
    <col min="7436" max="7436" width="12" style="119" bestFit="1" customWidth="1"/>
    <col min="7437" max="7437" width="15.5703125" style="119" customWidth="1"/>
    <col min="7438" max="7681" width="11.42578125" style="119"/>
    <col min="7682" max="7682" width="82.85546875" style="119" customWidth="1"/>
    <col min="7683" max="7683" width="10.42578125" style="119" customWidth="1"/>
    <col min="7684" max="7684" width="14.28515625" style="119" customWidth="1"/>
    <col min="7685" max="7686" width="13.28515625" style="119" bestFit="1" customWidth="1"/>
    <col min="7687" max="7687" width="12.140625" style="119" bestFit="1" customWidth="1"/>
    <col min="7688" max="7688" width="10.7109375" style="119" bestFit="1" customWidth="1"/>
    <col min="7689" max="7691" width="11.42578125" style="119"/>
    <col min="7692" max="7692" width="12" style="119" bestFit="1" customWidth="1"/>
    <col min="7693" max="7693" width="15.5703125" style="119" customWidth="1"/>
    <col min="7694" max="7937" width="11.42578125" style="119"/>
    <col min="7938" max="7938" width="82.85546875" style="119" customWidth="1"/>
    <col min="7939" max="7939" width="10.42578125" style="119" customWidth="1"/>
    <col min="7940" max="7940" width="14.28515625" style="119" customWidth="1"/>
    <col min="7941" max="7942" width="13.28515625" style="119" bestFit="1" customWidth="1"/>
    <col min="7943" max="7943" width="12.140625" style="119" bestFit="1" customWidth="1"/>
    <col min="7944" max="7944" width="10.7109375" style="119" bestFit="1" customWidth="1"/>
    <col min="7945" max="7947" width="11.42578125" style="119"/>
    <col min="7948" max="7948" width="12" style="119" bestFit="1" customWidth="1"/>
    <col min="7949" max="7949" width="15.5703125" style="119" customWidth="1"/>
    <col min="7950" max="8193" width="11.42578125" style="119"/>
    <col min="8194" max="8194" width="82.85546875" style="119" customWidth="1"/>
    <col min="8195" max="8195" width="10.42578125" style="119" customWidth="1"/>
    <col min="8196" max="8196" width="14.28515625" style="119" customWidth="1"/>
    <col min="8197" max="8198" width="13.28515625" style="119" bestFit="1" customWidth="1"/>
    <col min="8199" max="8199" width="12.140625" style="119" bestFit="1" customWidth="1"/>
    <col min="8200" max="8200" width="10.7109375" style="119" bestFit="1" customWidth="1"/>
    <col min="8201" max="8203" width="11.42578125" style="119"/>
    <col min="8204" max="8204" width="12" style="119" bestFit="1" customWidth="1"/>
    <col min="8205" max="8205" width="15.5703125" style="119" customWidth="1"/>
    <col min="8206" max="8449" width="11.42578125" style="119"/>
    <col min="8450" max="8450" width="82.85546875" style="119" customWidth="1"/>
    <col min="8451" max="8451" width="10.42578125" style="119" customWidth="1"/>
    <col min="8452" max="8452" width="14.28515625" style="119" customWidth="1"/>
    <col min="8453" max="8454" width="13.28515625" style="119" bestFit="1" customWidth="1"/>
    <col min="8455" max="8455" width="12.140625" style="119" bestFit="1" customWidth="1"/>
    <col min="8456" max="8456" width="10.7109375" style="119" bestFit="1" customWidth="1"/>
    <col min="8457" max="8459" width="11.42578125" style="119"/>
    <col min="8460" max="8460" width="12" style="119" bestFit="1" customWidth="1"/>
    <col min="8461" max="8461" width="15.5703125" style="119" customWidth="1"/>
    <col min="8462" max="8705" width="11.42578125" style="119"/>
    <col min="8706" max="8706" width="82.85546875" style="119" customWidth="1"/>
    <col min="8707" max="8707" width="10.42578125" style="119" customWidth="1"/>
    <col min="8708" max="8708" width="14.28515625" style="119" customWidth="1"/>
    <col min="8709" max="8710" width="13.28515625" style="119" bestFit="1" customWidth="1"/>
    <col min="8711" max="8711" width="12.140625" style="119" bestFit="1" customWidth="1"/>
    <col min="8712" max="8712" width="10.7109375" style="119" bestFit="1" customWidth="1"/>
    <col min="8713" max="8715" width="11.42578125" style="119"/>
    <col min="8716" max="8716" width="12" style="119" bestFit="1" customWidth="1"/>
    <col min="8717" max="8717" width="15.5703125" style="119" customWidth="1"/>
    <col min="8718" max="8961" width="11.42578125" style="119"/>
    <col min="8962" max="8962" width="82.85546875" style="119" customWidth="1"/>
    <col min="8963" max="8963" width="10.42578125" style="119" customWidth="1"/>
    <col min="8964" max="8964" width="14.28515625" style="119" customWidth="1"/>
    <col min="8965" max="8966" width="13.28515625" style="119" bestFit="1" customWidth="1"/>
    <col min="8967" max="8967" width="12.140625" style="119" bestFit="1" customWidth="1"/>
    <col min="8968" max="8968" width="10.7109375" style="119" bestFit="1" customWidth="1"/>
    <col min="8969" max="8971" width="11.42578125" style="119"/>
    <col min="8972" max="8972" width="12" style="119" bestFit="1" customWidth="1"/>
    <col min="8973" max="8973" width="15.5703125" style="119" customWidth="1"/>
    <col min="8974" max="9217" width="11.42578125" style="119"/>
    <col min="9218" max="9218" width="82.85546875" style="119" customWidth="1"/>
    <col min="9219" max="9219" width="10.42578125" style="119" customWidth="1"/>
    <col min="9220" max="9220" width="14.28515625" style="119" customWidth="1"/>
    <col min="9221" max="9222" width="13.28515625" style="119" bestFit="1" customWidth="1"/>
    <col min="9223" max="9223" width="12.140625" style="119" bestFit="1" customWidth="1"/>
    <col min="9224" max="9224" width="10.7109375" style="119" bestFit="1" customWidth="1"/>
    <col min="9225" max="9227" width="11.42578125" style="119"/>
    <col min="9228" max="9228" width="12" style="119" bestFit="1" customWidth="1"/>
    <col min="9229" max="9229" width="15.5703125" style="119" customWidth="1"/>
    <col min="9230" max="9473" width="11.42578125" style="119"/>
    <col min="9474" max="9474" width="82.85546875" style="119" customWidth="1"/>
    <col min="9475" max="9475" width="10.42578125" style="119" customWidth="1"/>
    <col min="9476" max="9476" width="14.28515625" style="119" customWidth="1"/>
    <col min="9477" max="9478" width="13.28515625" style="119" bestFit="1" customWidth="1"/>
    <col min="9479" max="9479" width="12.140625" style="119" bestFit="1" customWidth="1"/>
    <col min="9480" max="9480" width="10.7109375" style="119" bestFit="1" customWidth="1"/>
    <col min="9481" max="9483" width="11.42578125" style="119"/>
    <col min="9484" max="9484" width="12" style="119" bestFit="1" customWidth="1"/>
    <col min="9485" max="9485" width="15.5703125" style="119" customWidth="1"/>
    <col min="9486" max="9729" width="11.42578125" style="119"/>
    <col min="9730" max="9730" width="82.85546875" style="119" customWidth="1"/>
    <col min="9731" max="9731" width="10.42578125" style="119" customWidth="1"/>
    <col min="9732" max="9732" width="14.28515625" style="119" customWidth="1"/>
    <col min="9733" max="9734" width="13.28515625" style="119" bestFit="1" customWidth="1"/>
    <col min="9735" max="9735" width="12.140625" style="119" bestFit="1" customWidth="1"/>
    <col min="9736" max="9736" width="10.7109375" style="119" bestFit="1" customWidth="1"/>
    <col min="9737" max="9739" width="11.42578125" style="119"/>
    <col min="9740" max="9740" width="12" style="119" bestFit="1" customWidth="1"/>
    <col min="9741" max="9741" width="15.5703125" style="119" customWidth="1"/>
    <col min="9742" max="9985" width="11.42578125" style="119"/>
    <col min="9986" max="9986" width="82.85546875" style="119" customWidth="1"/>
    <col min="9987" max="9987" width="10.42578125" style="119" customWidth="1"/>
    <col min="9988" max="9988" width="14.28515625" style="119" customWidth="1"/>
    <col min="9989" max="9990" width="13.28515625" style="119" bestFit="1" customWidth="1"/>
    <col min="9991" max="9991" width="12.140625" style="119" bestFit="1" customWidth="1"/>
    <col min="9992" max="9992" width="10.7109375" style="119" bestFit="1" customWidth="1"/>
    <col min="9993" max="9995" width="11.42578125" style="119"/>
    <col min="9996" max="9996" width="12" style="119" bestFit="1" customWidth="1"/>
    <col min="9997" max="9997" width="15.5703125" style="119" customWidth="1"/>
    <col min="9998" max="10241" width="11.42578125" style="119"/>
    <col min="10242" max="10242" width="82.85546875" style="119" customWidth="1"/>
    <col min="10243" max="10243" width="10.42578125" style="119" customWidth="1"/>
    <col min="10244" max="10244" width="14.28515625" style="119" customWidth="1"/>
    <col min="10245" max="10246" width="13.28515625" style="119" bestFit="1" customWidth="1"/>
    <col min="10247" max="10247" width="12.140625" style="119" bestFit="1" customWidth="1"/>
    <col min="10248" max="10248" width="10.7109375" style="119" bestFit="1" customWidth="1"/>
    <col min="10249" max="10251" width="11.42578125" style="119"/>
    <col min="10252" max="10252" width="12" style="119" bestFit="1" customWidth="1"/>
    <col min="10253" max="10253" width="15.5703125" style="119" customWidth="1"/>
    <col min="10254" max="10497" width="11.42578125" style="119"/>
    <col min="10498" max="10498" width="82.85546875" style="119" customWidth="1"/>
    <col min="10499" max="10499" width="10.42578125" style="119" customWidth="1"/>
    <col min="10500" max="10500" width="14.28515625" style="119" customWidth="1"/>
    <col min="10501" max="10502" width="13.28515625" style="119" bestFit="1" customWidth="1"/>
    <col min="10503" max="10503" width="12.140625" style="119" bestFit="1" customWidth="1"/>
    <col min="10504" max="10504" width="10.7109375" style="119" bestFit="1" customWidth="1"/>
    <col min="10505" max="10507" width="11.42578125" style="119"/>
    <col min="10508" max="10508" width="12" style="119" bestFit="1" customWidth="1"/>
    <col min="10509" max="10509" width="15.5703125" style="119" customWidth="1"/>
    <col min="10510" max="10753" width="11.42578125" style="119"/>
    <col min="10754" max="10754" width="82.85546875" style="119" customWidth="1"/>
    <col min="10755" max="10755" width="10.42578125" style="119" customWidth="1"/>
    <col min="10756" max="10756" width="14.28515625" style="119" customWidth="1"/>
    <col min="10757" max="10758" width="13.28515625" style="119" bestFit="1" customWidth="1"/>
    <col min="10759" max="10759" width="12.140625" style="119" bestFit="1" customWidth="1"/>
    <col min="10760" max="10760" width="10.7109375" style="119" bestFit="1" customWidth="1"/>
    <col min="10761" max="10763" width="11.42578125" style="119"/>
    <col min="10764" max="10764" width="12" style="119" bestFit="1" customWidth="1"/>
    <col min="10765" max="10765" width="15.5703125" style="119" customWidth="1"/>
    <col min="10766" max="11009" width="11.42578125" style="119"/>
    <col min="11010" max="11010" width="82.85546875" style="119" customWidth="1"/>
    <col min="11011" max="11011" width="10.42578125" style="119" customWidth="1"/>
    <col min="11012" max="11012" width="14.28515625" style="119" customWidth="1"/>
    <col min="11013" max="11014" width="13.28515625" style="119" bestFit="1" customWidth="1"/>
    <col min="11015" max="11015" width="12.140625" style="119" bestFit="1" customWidth="1"/>
    <col min="11016" max="11016" width="10.7109375" style="119" bestFit="1" customWidth="1"/>
    <col min="11017" max="11019" width="11.42578125" style="119"/>
    <col min="11020" max="11020" width="12" style="119" bestFit="1" customWidth="1"/>
    <col min="11021" max="11021" width="15.5703125" style="119" customWidth="1"/>
    <col min="11022" max="11265" width="11.42578125" style="119"/>
    <col min="11266" max="11266" width="82.85546875" style="119" customWidth="1"/>
    <col min="11267" max="11267" width="10.42578125" style="119" customWidth="1"/>
    <col min="11268" max="11268" width="14.28515625" style="119" customWidth="1"/>
    <col min="11269" max="11270" width="13.28515625" style="119" bestFit="1" customWidth="1"/>
    <col min="11271" max="11271" width="12.140625" style="119" bestFit="1" customWidth="1"/>
    <col min="11272" max="11272" width="10.7109375" style="119" bestFit="1" customWidth="1"/>
    <col min="11273" max="11275" width="11.42578125" style="119"/>
    <col min="11276" max="11276" width="12" style="119" bestFit="1" customWidth="1"/>
    <col min="11277" max="11277" width="15.5703125" style="119" customWidth="1"/>
    <col min="11278" max="11521" width="11.42578125" style="119"/>
    <col min="11522" max="11522" width="82.85546875" style="119" customWidth="1"/>
    <col min="11523" max="11523" width="10.42578125" style="119" customWidth="1"/>
    <col min="11524" max="11524" width="14.28515625" style="119" customWidth="1"/>
    <col min="11525" max="11526" width="13.28515625" style="119" bestFit="1" customWidth="1"/>
    <col min="11527" max="11527" width="12.140625" style="119" bestFit="1" customWidth="1"/>
    <col min="11528" max="11528" width="10.7109375" style="119" bestFit="1" customWidth="1"/>
    <col min="11529" max="11531" width="11.42578125" style="119"/>
    <col min="11532" max="11532" width="12" style="119" bestFit="1" customWidth="1"/>
    <col min="11533" max="11533" width="15.5703125" style="119" customWidth="1"/>
    <col min="11534" max="11777" width="11.42578125" style="119"/>
    <col min="11778" max="11778" width="82.85546875" style="119" customWidth="1"/>
    <col min="11779" max="11779" width="10.42578125" style="119" customWidth="1"/>
    <col min="11780" max="11780" width="14.28515625" style="119" customWidth="1"/>
    <col min="11781" max="11782" width="13.28515625" style="119" bestFit="1" customWidth="1"/>
    <col min="11783" max="11783" width="12.140625" style="119" bestFit="1" customWidth="1"/>
    <col min="11784" max="11784" width="10.7109375" style="119" bestFit="1" customWidth="1"/>
    <col min="11785" max="11787" width="11.42578125" style="119"/>
    <col min="11788" max="11788" width="12" style="119" bestFit="1" customWidth="1"/>
    <col min="11789" max="11789" width="15.5703125" style="119" customWidth="1"/>
    <col min="11790" max="12033" width="11.42578125" style="119"/>
    <col min="12034" max="12034" width="82.85546875" style="119" customWidth="1"/>
    <col min="12035" max="12035" width="10.42578125" style="119" customWidth="1"/>
    <col min="12036" max="12036" width="14.28515625" style="119" customWidth="1"/>
    <col min="12037" max="12038" width="13.28515625" style="119" bestFit="1" customWidth="1"/>
    <col min="12039" max="12039" width="12.140625" style="119" bestFit="1" customWidth="1"/>
    <col min="12040" max="12040" width="10.7109375" style="119" bestFit="1" customWidth="1"/>
    <col min="12041" max="12043" width="11.42578125" style="119"/>
    <col min="12044" max="12044" width="12" style="119" bestFit="1" customWidth="1"/>
    <col min="12045" max="12045" width="15.5703125" style="119" customWidth="1"/>
    <col min="12046" max="12289" width="11.42578125" style="119"/>
    <col min="12290" max="12290" width="82.85546875" style="119" customWidth="1"/>
    <col min="12291" max="12291" width="10.42578125" style="119" customWidth="1"/>
    <col min="12292" max="12292" width="14.28515625" style="119" customWidth="1"/>
    <col min="12293" max="12294" width="13.28515625" style="119" bestFit="1" customWidth="1"/>
    <col min="12295" max="12295" width="12.140625" style="119" bestFit="1" customWidth="1"/>
    <col min="12296" max="12296" width="10.7109375" style="119" bestFit="1" customWidth="1"/>
    <col min="12297" max="12299" width="11.42578125" style="119"/>
    <col min="12300" max="12300" width="12" style="119" bestFit="1" customWidth="1"/>
    <col min="12301" max="12301" width="15.5703125" style="119" customWidth="1"/>
    <col min="12302" max="12545" width="11.42578125" style="119"/>
    <col min="12546" max="12546" width="82.85546875" style="119" customWidth="1"/>
    <col min="12547" max="12547" width="10.42578125" style="119" customWidth="1"/>
    <col min="12548" max="12548" width="14.28515625" style="119" customWidth="1"/>
    <col min="12549" max="12550" width="13.28515625" style="119" bestFit="1" customWidth="1"/>
    <col min="12551" max="12551" width="12.140625" style="119" bestFit="1" customWidth="1"/>
    <col min="12552" max="12552" width="10.7109375" style="119" bestFit="1" customWidth="1"/>
    <col min="12553" max="12555" width="11.42578125" style="119"/>
    <col min="12556" max="12556" width="12" style="119" bestFit="1" customWidth="1"/>
    <col min="12557" max="12557" width="15.5703125" style="119" customWidth="1"/>
    <col min="12558" max="12801" width="11.42578125" style="119"/>
    <col min="12802" max="12802" width="82.85546875" style="119" customWidth="1"/>
    <col min="12803" max="12803" width="10.42578125" style="119" customWidth="1"/>
    <col min="12804" max="12804" width="14.28515625" style="119" customWidth="1"/>
    <col min="12805" max="12806" width="13.28515625" style="119" bestFit="1" customWidth="1"/>
    <col min="12807" max="12807" width="12.140625" style="119" bestFit="1" customWidth="1"/>
    <col min="12808" max="12808" width="10.7109375" style="119" bestFit="1" customWidth="1"/>
    <col min="12809" max="12811" width="11.42578125" style="119"/>
    <col min="12812" max="12812" width="12" style="119" bestFit="1" customWidth="1"/>
    <col min="12813" max="12813" width="15.5703125" style="119" customWidth="1"/>
    <col min="12814" max="13057" width="11.42578125" style="119"/>
    <col min="13058" max="13058" width="82.85546875" style="119" customWidth="1"/>
    <col min="13059" max="13059" width="10.42578125" style="119" customWidth="1"/>
    <col min="13060" max="13060" width="14.28515625" style="119" customWidth="1"/>
    <col min="13061" max="13062" width="13.28515625" style="119" bestFit="1" customWidth="1"/>
    <col min="13063" max="13063" width="12.140625" style="119" bestFit="1" customWidth="1"/>
    <col min="13064" max="13064" width="10.7109375" style="119" bestFit="1" customWidth="1"/>
    <col min="13065" max="13067" width="11.42578125" style="119"/>
    <col min="13068" max="13068" width="12" style="119" bestFit="1" customWidth="1"/>
    <col min="13069" max="13069" width="15.5703125" style="119" customWidth="1"/>
    <col min="13070" max="13313" width="11.42578125" style="119"/>
    <col min="13314" max="13314" width="82.85546875" style="119" customWidth="1"/>
    <col min="13315" max="13315" width="10.42578125" style="119" customWidth="1"/>
    <col min="13316" max="13316" width="14.28515625" style="119" customWidth="1"/>
    <col min="13317" max="13318" width="13.28515625" style="119" bestFit="1" customWidth="1"/>
    <col min="13319" max="13319" width="12.140625" style="119" bestFit="1" customWidth="1"/>
    <col min="13320" max="13320" width="10.7109375" style="119" bestFit="1" customWidth="1"/>
    <col min="13321" max="13323" width="11.42578125" style="119"/>
    <col min="13324" max="13324" width="12" style="119" bestFit="1" customWidth="1"/>
    <col min="13325" max="13325" width="15.5703125" style="119" customWidth="1"/>
    <col min="13326" max="13569" width="11.42578125" style="119"/>
    <col min="13570" max="13570" width="82.85546875" style="119" customWidth="1"/>
    <col min="13571" max="13571" width="10.42578125" style="119" customWidth="1"/>
    <col min="13572" max="13572" width="14.28515625" style="119" customWidth="1"/>
    <col min="13573" max="13574" width="13.28515625" style="119" bestFit="1" customWidth="1"/>
    <col min="13575" max="13575" width="12.140625" style="119" bestFit="1" customWidth="1"/>
    <col min="13576" max="13576" width="10.7109375" style="119" bestFit="1" customWidth="1"/>
    <col min="13577" max="13579" width="11.42578125" style="119"/>
    <col min="13580" max="13580" width="12" style="119" bestFit="1" customWidth="1"/>
    <col min="13581" max="13581" width="15.5703125" style="119" customWidth="1"/>
    <col min="13582" max="13825" width="11.42578125" style="119"/>
    <col min="13826" max="13826" width="82.85546875" style="119" customWidth="1"/>
    <col min="13827" max="13827" width="10.42578125" style="119" customWidth="1"/>
    <col min="13828" max="13828" width="14.28515625" style="119" customWidth="1"/>
    <col min="13829" max="13830" width="13.28515625" style="119" bestFit="1" customWidth="1"/>
    <col min="13831" max="13831" width="12.140625" style="119" bestFit="1" customWidth="1"/>
    <col min="13832" max="13832" width="10.7109375" style="119" bestFit="1" customWidth="1"/>
    <col min="13833" max="13835" width="11.42578125" style="119"/>
    <col min="13836" max="13836" width="12" style="119" bestFit="1" customWidth="1"/>
    <col min="13837" max="13837" width="15.5703125" style="119" customWidth="1"/>
    <col min="13838" max="14081" width="11.42578125" style="119"/>
    <col min="14082" max="14082" width="82.85546875" style="119" customWidth="1"/>
    <col min="14083" max="14083" width="10.42578125" style="119" customWidth="1"/>
    <col min="14084" max="14084" width="14.28515625" style="119" customWidth="1"/>
    <col min="14085" max="14086" width="13.28515625" style="119" bestFit="1" customWidth="1"/>
    <col min="14087" max="14087" width="12.140625" style="119" bestFit="1" customWidth="1"/>
    <col min="14088" max="14088" width="10.7109375" style="119" bestFit="1" customWidth="1"/>
    <col min="14089" max="14091" width="11.42578125" style="119"/>
    <col min="14092" max="14092" width="12" style="119" bestFit="1" customWidth="1"/>
    <col min="14093" max="14093" width="15.5703125" style="119" customWidth="1"/>
    <col min="14094" max="14337" width="11.42578125" style="119"/>
    <col min="14338" max="14338" width="82.85546875" style="119" customWidth="1"/>
    <col min="14339" max="14339" width="10.42578125" style="119" customWidth="1"/>
    <col min="14340" max="14340" width="14.28515625" style="119" customWidth="1"/>
    <col min="14341" max="14342" width="13.28515625" style="119" bestFit="1" customWidth="1"/>
    <col min="14343" max="14343" width="12.140625" style="119" bestFit="1" customWidth="1"/>
    <col min="14344" max="14344" width="10.7109375" style="119" bestFit="1" customWidth="1"/>
    <col min="14345" max="14347" width="11.42578125" style="119"/>
    <col min="14348" max="14348" width="12" style="119" bestFit="1" customWidth="1"/>
    <col min="14349" max="14349" width="15.5703125" style="119" customWidth="1"/>
    <col min="14350" max="14593" width="11.42578125" style="119"/>
    <col min="14594" max="14594" width="82.85546875" style="119" customWidth="1"/>
    <col min="14595" max="14595" width="10.42578125" style="119" customWidth="1"/>
    <col min="14596" max="14596" width="14.28515625" style="119" customWidth="1"/>
    <col min="14597" max="14598" width="13.28515625" style="119" bestFit="1" customWidth="1"/>
    <col min="14599" max="14599" width="12.140625" style="119" bestFit="1" customWidth="1"/>
    <col min="14600" max="14600" width="10.7109375" style="119" bestFit="1" customWidth="1"/>
    <col min="14601" max="14603" width="11.42578125" style="119"/>
    <col min="14604" max="14604" width="12" style="119" bestFit="1" customWidth="1"/>
    <col min="14605" max="14605" width="15.5703125" style="119" customWidth="1"/>
    <col min="14606" max="14849" width="11.42578125" style="119"/>
    <col min="14850" max="14850" width="82.85546875" style="119" customWidth="1"/>
    <col min="14851" max="14851" width="10.42578125" style="119" customWidth="1"/>
    <col min="14852" max="14852" width="14.28515625" style="119" customWidth="1"/>
    <col min="14853" max="14854" width="13.28515625" style="119" bestFit="1" customWidth="1"/>
    <col min="14855" max="14855" width="12.140625" style="119" bestFit="1" customWidth="1"/>
    <col min="14856" max="14856" width="10.7109375" style="119" bestFit="1" customWidth="1"/>
    <col min="14857" max="14859" width="11.42578125" style="119"/>
    <col min="14860" max="14860" width="12" style="119" bestFit="1" customWidth="1"/>
    <col min="14861" max="14861" width="15.5703125" style="119" customWidth="1"/>
    <col min="14862" max="15105" width="11.42578125" style="119"/>
    <col min="15106" max="15106" width="82.85546875" style="119" customWidth="1"/>
    <col min="15107" max="15107" width="10.42578125" style="119" customWidth="1"/>
    <col min="15108" max="15108" width="14.28515625" style="119" customWidth="1"/>
    <col min="15109" max="15110" width="13.28515625" style="119" bestFit="1" customWidth="1"/>
    <col min="15111" max="15111" width="12.140625" style="119" bestFit="1" customWidth="1"/>
    <col min="15112" max="15112" width="10.7109375" style="119" bestFit="1" customWidth="1"/>
    <col min="15113" max="15115" width="11.42578125" style="119"/>
    <col min="15116" max="15116" width="12" style="119" bestFit="1" customWidth="1"/>
    <col min="15117" max="15117" width="15.5703125" style="119" customWidth="1"/>
    <col min="15118" max="15361" width="11.42578125" style="119"/>
    <col min="15362" max="15362" width="82.85546875" style="119" customWidth="1"/>
    <col min="15363" max="15363" width="10.42578125" style="119" customWidth="1"/>
    <col min="15364" max="15364" width="14.28515625" style="119" customWidth="1"/>
    <col min="15365" max="15366" width="13.28515625" style="119" bestFit="1" customWidth="1"/>
    <col min="15367" max="15367" width="12.140625" style="119" bestFit="1" customWidth="1"/>
    <col min="15368" max="15368" width="10.7109375" style="119" bestFit="1" customWidth="1"/>
    <col min="15369" max="15371" width="11.42578125" style="119"/>
    <col min="15372" max="15372" width="12" style="119" bestFit="1" customWidth="1"/>
    <col min="15373" max="15373" width="15.5703125" style="119" customWidth="1"/>
    <col min="15374" max="15617" width="11.42578125" style="119"/>
    <col min="15618" max="15618" width="82.85546875" style="119" customWidth="1"/>
    <col min="15619" max="15619" width="10.42578125" style="119" customWidth="1"/>
    <col min="15620" max="15620" width="14.28515625" style="119" customWidth="1"/>
    <col min="15621" max="15622" width="13.28515625" style="119" bestFit="1" customWidth="1"/>
    <col min="15623" max="15623" width="12.140625" style="119" bestFit="1" customWidth="1"/>
    <col min="15624" max="15624" width="10.7109375" style="119" bestFit="1" customWidth="1"/>
    <col min="15625" max="15627" width="11.42578125" style="119"/>
    <col min="15628" max="15628" width="12" style="119" bestFit="1" customWidth="1"/>
    <col min="15629" max="15629" width="15.5703125" style="119" customWidth="1"/>
    <col min="15630" max="15873" width="11.42578125" style="119"/>
    <col min="15874" max="15874" width="82.85546875" style="119" customWidth="1"/>
    <col min="15875" max="15875" width="10.42578125" style="119" customWidth="1"/>
    <col min="15876" max="15876" width="14.28515625" style="119" customWidth="1"/>
    <col min="15877" max="15878" width="13.28515625" style="119" bestFit="1" customWidth="1"/>
    <col min="15879" max="15879" width="12.140625" style="119" bestFit="1" customWidth="1"/>
    <col min="15880" max="15880" width="10.7109375" style="119" bestFit="1" customWidth="1"/>
    <col min="15881" max="15883" width="11.42578125" style="119"/>
    <col min="15884" max="15884" width="12" style="119" bestFit="1" customWidth="1"/>
    <col min="15885" max="15885" width="15.5703125" style="119" customWidth="1"/>
    <col min="15886" max="16129" width="11.42578125" style="119"/>
    <col min="16130" max="16130" width="82.85546875" style="119" customWidth="1"/>
    <col min="16131" max="16131" width="10.42578125" style="119" customWidth="1"/>
    <col min="16132" max="16132" width="14.28515625" style="119" customWidth="1"/>
    <col min="16133" max="16134" width="13.28515625" style="119" bestFit="1" customWidth="1"/>
    <col min="16135" max="16135" width="12.140625" style="119" bestFit="1" customWidth="1"/>
    <col min="16136" max="16136" width="10.7109375" style="119" bestFit="1" customWidth="1"/>
    <col min="16137" max="16139" width="11.42578125" style="119"/>
    <col min="16140" max="16140" width="12" style="119" bestFit="1" customWidth="1"/>
    <col min="16141" max="16141" width="15.5703125" style="119" customWidth="1"/>
    <col min="16142" max="16384" width="11.42578125" style="119"/>
  </cols>
  <sheetData>
    <row r="1" spans="1:13" ht="15.75" x14ac:dyDescent="0.25">
      <c r="A1" s="268" t="s">
        <v>161</v>
      </c>
      <c r="B1" s="269"/>
      <c r="C1" s="269"/>
      <c r="D1" s="132"/>
      <c r="H1" s="129" t="s">
        <v>167</v>
      </c>
      <c r="I1" s="129"/>
    </row>
    <row r="2" spans="1:13" ht="15.75" x14ac:dyDescent="0.25">
      <c r="A2" s="270" t="s">
        <v>162</v>
      </c>
      <c r="B2" s="270"/>
      <c r="C2" s="270"/>
      <c r="D2" s="132"/>
      <c r="H2" s="129" t="s">
        <v>203</v>
      </c>
      <c r="I2" s="129"/>
    </row>
    <row r="3" spans="1:13" x14ac:dyDescent="0.25">
      <c r="A3" s="132"/>
      <c r="B3" s="132"/>
      <c r="C3" s="132"/>
      <c r="D3" s="132"/>
      <c r="H3" s="119">
        <v>0</v>
      </c>
    </row>
    <row r="4" spans="1:13" x14ac:dyDescent="0.25">
      <c r="A4" s="266" t="s">
        <v>163</v>
      </c>
      <c r="B4" s="266"/>
      <c r="C4" s="133" t="s">
        <v>164</v>
      </c>
      <c r="D4" s="132"/>
      <c r="H4" s="119">
        <v>1</v>
      </c>
    </row>
    <row r="5" spans="1:13" x14ac:dyDescent="0.25">
      <c r="A5" s="134" t="s">
        <v>165</v>
      </c>
      <c r="B5" s="135"/>
      <c r="C5" s="136">
        <v>5550</v>
      </c>
      <c r="D5" s="132"/>
      <c r="H5" s="119">
        <v>2</v>
      </c>
    </row>
    <row r="6" spans="1:13" x14ac:dyDescent="0.25">
      <c r="A6" s="137" t="s">
        <v>202</v>
      </c>
      <c r="B6" s="140">
        <v>55</v>
      </c>
      <c r="C6" s="136">
        <f>IF(AND(B6&gt;64.9999,B6&lt;75),1150,IF(B6&gt;74.9999,1150+1400,0))</f>
        <v>0</v>
      </c>
      <c r="D6" s="132"/>
      <c r="E6" s="129"/>
      <c r="F6" s="129"/>
      <c r="G6" s="129"/>
      <c r="H6" s="119">
        <v>3</v>
      </c>
      <c r="J6" s="129"/>
      <c r="K6" s="129"/>
      <c r="L6" s="129"/>
      <c r="M6" s="138"/>
    </row>
    <row r="7" spans="1:13" x14ac:dyDescent="0.25">
      <c r="A7" s="137" t="s">
        <v>166</v>
      </c>
      <c r="B7" s="139" t="s">
        <v>167</v>
      </c>
      <c r="C7" s="132"/>
      <c r="D7" s="132"/>
      <c r="E7" s="129"/>
      <c r="F7" s="129"/>
      <c r="G7" s="129"/>
      <c r="H7" s="119">
        <v>4</v>
      </c>
      <c r="J7" s="129"/>
      <c r="K7" s="129"/>
      <c r="L7" s="129"/>
      <c r="M7" s="138"/>
    </row>
    <row r="8" spans="1:13" x14ac:dyDescent="0.25">
      <c r="A8" s="137" t="s">
        <v>168</v>
      </c>
      <c r="B8" s="139" t="s">
        <v>167</v>
      </c>
      <c r="C8" s="132"/>
      <c r="D8" s="132"/>
      <c r="E8" s="129"/>
      <c r="F8" s="129"/>
      <c r="G8" s="129"/>
      <c r="H8" s="119">
        <v>5</v>
      </c>
      <c r="J8" s="129"/>
      <c r="K8" s="129"/>
      <c r="L8" s="129"/>
      <c r="M8" s="138"/>
    </row>
    <row r="9" spans="1:13" x14ac:dyDescent="0.25">
      <c r="A9" s="132"/>
      <c r="B9" s="132"/>
      <c r="C9" s="132"/>
      <c r="D9" s="132"/>
      <c r="E9" s="129"/>
      <c r="F9" s="129"/>
      <c r="G9" s="129"/>
      <c r="H9" s="119">
        <v>6</v>
      </c>
      <c r="J9" s="129"/>
      <c r="K9" s="129"/>
      <c r="L9" s="129"/>
      <c r="M9" s="138"/>
    </row>
    <row r="10" spans="1:13" x14ac:dyDescent="0.25">
      <c r="A10" s="266" t="s">
        <v>169</v>
      </c>
      <c r="B10" s="266"/>
      <c r="C10" s="132"/>
      <c r="D10" s="132"/>
      <c r="E10" s="129"/>
      <c r="F10" s="129"/>
      <c r="G10" s="129"/>
      <c r="H10" s="119">
        <v>7</v>
      </c>
      <c r="J10" s="129"/>
      <c r="K10" s="129"/>
      <c r="L10" s="129"/>
      <c r="M10" s="138"/>
    </row>
    <row r="11" spans="1:13" x14ac:dyDescent="0.25">
      <c r="A11" s="137" t="s">
        <v>170</v>
      </c>
      <c r="B11" s="139" t="s">
        <v>167</v>
      </c>
      <c r="C11" s="132"/>
      <c r="D11" s="132"/>
      <c r="E11" s="129"/>
      <c r="F11" s="129"/>
      <c r="G11" s="129"/>
      <c r="H11" s="119">
        <v>8</v>
      </c>
      <c r="J11" s="129"/>
      <c r="K11" s="129"/>
    </row>
    <row r="12" spans="1:13" x14ac:dyDescent="0.25">
      <c r="A12" s="137" t="s">
        <v>171</v>
      </c>
      <c r="B12" s="140">
        <v>0</v>
      </c>
      <c r="C12" s="271">
        <f>IF(B11="no",(IF(B12=1,2400,IF(B12=2,5100,IF(B12=3,9100,IF(B12=4,13600,IF(B12&gt;4,13600+(4500*(B12-4)),0)))))+(B13*2244))/2,IF(B12=1,2400,IF(B12=2,5100,IF(B12=3,9100,IF(B12=4,13600,IF(B12&gt;4,13600+(4500*(B12-4)),0)))))+(B13*2800))</f>
        <v>0</v>
      </c>
      <c r="D12" s="132"/>
      <c r="E12" s="129"/>
      <c r="F12" s="129"/>
      <c r="G12" s="129"/>
      <c r="J12" s="129"/>
      <c r="K12" s="129"/>
    </row>
    <row r="13" spans="1:13" x14ac:dyDescent="0.25">
      <c r="A13" s="137" t="s">
        <v>172</v>
      </c>
      <c r="B13" s="140">
        <v>0</v>
      </c>
      <c r="C13" s="272"/>
      <c r="D13" s="132"/>
      <c r="E13" s="129"/>
      <c r="F13" s="129"/>
      <c r="G13" s="129"/>
      <c r="H13" s="172">
        <f>IF(Nómina!C6="Interino",+B41-(IF(B40&lt;42370,42370,B40))+(IF(B41=42613,0,ROUND(+((B41-B40)*30)/365,0)))," ")</f>
        <v>204</v>
      </c>
      <c r="I13" s="179"/>
      <c r="J13" s="129"/>
      <c r="K13" s="129"/>
    </row>
    <row r="14" spans="1:13" x14ac:dyDescent="0.25">
      <c r="A14" s="141" t="s">
        <v>173</v>
      </c>
      <c r="B14" s="140">
        <v>0</v>
      </c>
      <c r="C14" s="136">
        <f>(B14*3000)</f>
        <v>0</v>
      </c>
      <c r="D14" s="132"/>
      <c r="E14" s="129"/>
      <c r="F14" s="129"/>
      <c r="G14" s="129"/>
      <c r="J14" s="129"/>
      <c r="K14" s="129"/>
    </row>
    <row r="15" spans="1:13" x14ac:dyDescent="0.25">
      <c r="A15" s="141" t="s">
        <v>174</v>
      </c>
      <c r="B15" s="140">
        <v>0</v>
      </c>
      <c r="C15" s="136">
        <f>+(B15*9000)</f>
        <v>0</v>
      </c>
      <c r="D15" s="132"/>
      <c r="E15" s="129"/>
      <c r="F15" s="129"/>
      <c r="G15" s="129"/>
      <c r="J15" s="129"/>
      <c r="K15" s="129"/>
    </row>
    <row r="16" spans="1:13" x14ac:dyDescent="0.25">
      <c r="A16" s="142"/>
      <c r="B16" s="142"/>
      <c r="C16" s="142"/>
      <c r="D16" s="132"/>
      <c r="E16" s="129"/>
      <c r="F16" s="129"/>
      <c r="G16" s="129"/>
      <c r="J16" s="129"/>
      <c r="K16" s="129"/>
    </row>
    <row r="17" spans="1:11" x14ac:dyDescent="0.25">
      <c r="A17" s="266" t="s">
        <v>175</v>
      </c>
      <c r="B17" s="266"/>
      <c r="C17" s="142"/>
      <c r="D17" s="132"/>
      <c r="E17" s="129"/>
      <c r="F17" s="129"/>
      <c r="G17" s="129"/>
      <c r="J17" s="129"/>
      <c r="K17" s="129"/>
    </row>
    <row r="18" spans="1:11" x14ac:dyDescent="0.25">
      <c r="A18" s="143" t="s">
        <v>176</v>
      </c>
      <c r="B18" s="140">
        <v>1</v>
      </c>
      <c r="C18" s="142"/>
      <c r="D18" s="132"/>
      <c r="E18" s="129"/>
      <c r="F18" s="129"/>
      <c r="G18" s="129"/>
      <c r="J18" s="129"/>
      <c r="K18" s="129"/>
    </row>
    <row r="19" spans="1:11" x14ac:dyDescent="0.25">
      <c r="A19" s="137" t="s">
        <v>177</v>
      </c>
      <c r="B19" s="140">
        <v>0</v>
      </c>
      <c r="C19" s="267">
        <f>((+B19*1150)+(B20*(1150+1400)))/B18</f>
        <v>0</v>
      </c>
      <c r="D19" s="132"/>
      <c r="E19" s="129"/>
      <c r="F19" s="129"/>
      <c r="G19" s="129"/>
      <c r="J19" s="129"/>
      <c r="K19" s="129"/>
    </row>
    <row r="20" spans="1:11" x14ac:dyDescent="0.25">
      <c r="A20" s="137" t="s">
        <v>178</v>
      </c>
      <c r="B20" s="140">
        <v>0</v>
      </c>
      <c r="C20" s="267"/>
      <c r="D20" s="132"/>
      <c r="E20" s="129"/>
      <c r="F20" s="129"/>
      <c r="G20" s="129"/>
      <c r="J20" s="129"/>
      <c r="K20" s="129"/>
    </row>
    <row r="21" spans="1:11" x14ac:dyDescent="0.25">
      <c r="A21" s="141" t="s">
        <v>179</v>
      </c>
      <c r="B21" s="140">
        <v>0</v>
      </c>
      <c r="C21" s="136">
        <f>(B21*3000)/B18</f>
        <v>0</v>
      </c>
      <c r="D21" s="132"/>
      <c r="E21" s="129"/>
      <c r="F21" s="129"/>
      <c r="G21" s="129"/>
      <c r="J21" s="129"/>
      <c r="K21" s="129"/>
    </row>
    <row r="22" spans="1:11" x14ac:dyDescent="0.25">
      <c r="A22" s="141" t="s">
        <v>180</v>
      </c>
      <c r="B22" s="140">
        <v>0</v>
      </c>
      <c r="C22" s="136">
        <f>+(B22*9000)/B18</f>
        <v>0</v>
      </c>
      <c r="D22" s="132"/>
      <c r="E22" s="129"/>
      <c r="F22" s="129"/>
      <c r="G22" s="129"/>
      <c r="J22" s="129"/>
      <c r="K22" s="129"/>
    </row>
    <row r="23" spans="1:11" x14ac:dyDescent="0.25">
      <c r="A23" s="132"/>
      <c r="B23" s="132"/>
      <c r="C23" s="132"/>
      <c r="D23" s="132"/>
      <c r="E23" s="129"/>
      <c r="F23" s="129"/>
      <c r="G23" s="129"/>
      <c r="J23" s="129"/>
      <c r="K23" s="129"/>
    </row>
    <row r="24" spans="1:11" hidden="1" x14ac:dyDescent="0.25">
      <c r="A24" s="266" t="s">
        <v>181</v>
      </c>
      <c r="B24" s="266"/>
      <c r="C24" s="132"/>
      <c r="D24" s="132"/>
      <c r="E24" s="129"/>
      <c r="F24" s="129"/>
      <c r="G24" s="129"/>
      <c r="H24" s="119">
        <v>8</v>
      </c>
      <c r="J24" s="129"/>
      <c r="K24" s="129"/>
    </row>
    <row r="25" spans="1:11" hidden="1" x14ac:dyDescent="0.25">
      <c r="A25" s="144" t="s">
        <v>182</v>
      </c>
      <c r="B25" s="145">
        <f>IF(Nómina!C6="Interino",Nómina!D60,+Nómina!D54)</f>
        <v>29630.746985205482</v>
      </c>
      <c r="C25" s="132"/>
      <c r="D25" s="132"/>
      <c r="E25" s="129"/>
      <c r="F25" s="129"/>
      <c r="G25" s="129"/>
      <c r="J25" s="129"/>
      <c r="K25" s="129"/>
    </row>
    <row r="26" spans="1:11" hidden="1" x14ac:dyDescent="0.25">
      <c r="A26" s="132"/>
      <c r="B26" s="132"/>
      <c r="C26" s="132"/>
      <c r="D26" s="132"/>
    </row>
    <row r="27" spans="1:11" hidden="1" x14ac:dyDescent="0.25">
      <c r="A27" s="266" t="s">
        <v>183</v>
      </c>
      <c r="B27" s="266"/>
      <c r="C27" s="132"/>
      <c r="D27" s="132"/>
    </row>
    <row r="28" spans="1:11" hidden="1" x14ac:dyDescent="0.25">
      <c r="A28" s="134" t="s">
        <v>184</v>
      </c>
      <c r="B28" s="146">
        <v>2000</v>
      </c>
      <c r="C28" s="132"/>
      <c r="D28" s="132"/>
    </row>
    <row r="29" spans="1:11" hidden="1" x14ac:dyDescent="0.25">
      <c r="A29" s="134" t="s">
        <v>193</v>
      </c>
      <c r="B29" s="146">
        <f>IF(Nómina!C6="Interino",-Nómina!D61,-Nómina!D55)</f>
        <v>1817.2455842454797</v>
      </c>
      <c r="C29" s="132"/>
      <c r="D29" s="132"/>
    </row>
    <row r="30" spans="1:11" hidden="1" x14ac:dyDescent="0.25">
      <c r="A30" s="137" t="s">
        <v>166</v>
      </c>
      <c r="B30" s="136">
        <f>IF(B7="no",0,3000)</f>
        <v>0</v>
      </c>
      <c r="C30" s="132"/>
      <c r="D30" s="132"/>
    </row>
    <row r="31" spans="1:11" hidden="1" x14ac:dyDescent="0.25">
      <c r="A31" s="137" t="s">
        <v>168</v>
      </c>
      <c r="B31" s="136">
        <f>IF(B8="no",0,9000)</f>
        <v>0</v>
      </c>
      <c r="C31" s="132"/>
      <c r="D31" s="132"/>
    </row>
    <row r="32" spans="1:11" hidden="1" x14ac:dyDescent="0.25">
      <c r="A32" s="141" t="s">
        <v>185</v>
      </c>
      <c r="B32" s="146">
        <f>IF(B12&gt;2,600,0)</f>
        <v>0</v>
      </c>
      <c r="C32" s="132"/>
      <c r="D32" s="132"/>
    </row>
    <row r="33" spans="1:17" hidden="1" x14ac:dyDescent="0.25">
      <c r="A33" s="134"/>
      <c r="B33" s="146"/>
      <c r="C33" s="132"/>
      <c r="D33" s="132"/>
    </row>
    <row r="34" spans="1:17" hidden="1" x14ac:dyDescent="0.25">
      <c r="A34" s="147" t="s">
        <v>186</v>
      </c>
      <c r="B34" s="146">
        <f>+B25-B29-B28-B30-B31-B32-B33</f>
        <v>25813.501400960002</v>
      </c>
      <c r="C34" s="145">
        <f>SUM(C5:C33)</f>
        <v>5550</v>
      </c>
      <c r="D34" s="132"/>
    </row>
    <row r="35" spans="1:17" hidden="1" x14ac:dyDescent="0.25">
      <c r="A35" s="147" t="s">
        <v>187</v>
      </c>
      <c r="B35" s="146">
        <f>IF(B34&lt;12450.0000001,B34*19%,IF(AND(B34&gt;12450.000001,B34&lt;20200.0000001),((B34-12450)*24%)+2362.5,IF(AND(B34&gt;20200.000001,B34&lt;35200.0000001),((B34-20200)*30%)+4225.5,IF(AND(B34&gt;35200.000001,B34&lt;60000.0000001),((B34-35200)*37%)+8725.5,IF(B34&gt;60000.000001,((B34-60000)*45%)+17901.5,0)))))</f>
        <v>5909.5504202880002</v>
      </c>
      <c r="C35" s="145">
        <f>IF(C34&lt;12450.0000001,C34*19%,IF(AND(C34&gt;12450.000001,C34&lt;20200.0000001),((C34-12450)*24%)+2365.5,IF(AND(C34&gt;20200.000001,C34&lt;35200.0000001),((C34-20200)*30%)+4225.5,IF(AND(C34&gt;35200.000001,C34&lt;60000.0000001),((C34-35200)*37%)+8725.5,IF(C34&gt;60000.000001,((C34-60000)*45%)+17901.5,0)))))</f>
        <v>1054.5</v>
      </c>
      <c r="D35" s="132"/>
    </row>
    <row r="36" spans="1:17" hidden="1" x14ac:dyDescent="0.25">
      <c r="A36" s="147" t="s">
        <v>188</v>
      </c>
      <c r="B36" s="146">
        <f>+B35-C35</f>
        <v>4855.0504202880002</v>
      </c>
      <c r="C36" s="132"/>
      <c r="D36" s="132"/>
    </row>
    <row r="37" spans="1:17" hidden="1" x14ac:dyDescent="0.25">
      <c r="A37" s="147" t="s">
        <v>189</v>
      </c>
      <c r="B37" s="148">
        <f>IF(IF(+B36/B25&lt;0,0,+B36/B25)&lt;2%,2%,IF(+B36/B25&lt;0,0,+B36/B25))</f>
        <v>0.16385177271137</v>
      </c>
      <c r="C37" s="132"/>
      <c r="D37" s="132"/>
      <c r="Q37" s="138"/>
    </row>
    <row r="38" spans="1:17" hidden="1" x14ac:dyDescent="0.25">
      <c r="A38" s="132"/>
      <c r="B38" s="132"/>
      <c r="C38" s="132"/>
      <c r="D38" s="132"/>
    </row>
    <row r="39" spans="1:17" hidden="1" x14ac:dyDescent="0.25">
      <c r="A39" s="266" t="str">
        <f>IF(Nómina!C6="Interino","Para estimar % retención del año 2016 completo"," ")</f>
        <v>Para estimar % retención del año 2016 completo</v>
      </c>
      <c r="B39" s="266"/>
      <c r="F39" s="119" t="s">
        <v>219</v>
      </c>
      <c r="G39" s="119" t="s">
        <v>220</v>
      </c>
      <c r="H39" s="119" t="s">
        <v>211</v>
      </c>
      <c r="I39" s="119" t="s">
        <v>218</v>
      </c>
    </row>
    <row r="40" spans="1:17" hidden="1" x14ac:dyDescent="0.25">
      <c r="A40" s="170" t="str">
        <f>IF(Nómina!C6="Interino","Fecha inicio del interino. Curso 2015/16"," ")</f>
        <v>Fecha inicio del interino. Curso 2015/16</v>
      </c>
      <c r="B40" s="193">
        <f>+Nómina!C9</f>
        <v>42268</v>
      </c>
      <c r="F40" s="189">
        <f>+K42-K40</f>
        <v>183</v>
      </c>
      <c r="G40" s="189">
        <f>+I40-H40+1</f>
        <v>213</v>
      </c>
      <c r="H40" s="188">
        <f>IF(B40&lt;K40,K40,B40)</f>
        <v>42339</v>
      </c>
      <c r="I40" s="188">
        <f>IF(B41&lt;K44-1,B41,K42-1)</f>
        <v>42551</v>
      </c>
      <c r="J40" s="187" t="s">
        <v>209</v>
      </c>
      <c r="K40" s="188">
        <v>42339</v>
      </c>
      <c r="L40" s="132" t="s">
        <v>206</v>
      </c>
      <c r="M40" s="185">
        <f>IF(OR(B41=K44,B41=K43),+K40-#REF!+1,0)</f>
        <v>0</v>
      </c>
    </row>
    <row r="41" spans="1:17" hidden="1" x14ac:dyDescent="0.25">
      <c r="A41" s="171" t="str">
        <f>IF(Nómina!C6="Interino","Fecha finalización. Curso 2015/16"," ")</f>
        <v>Fecha finalización. Curso 2015/16</v>
      </c>
      <c r="B41" s="193">
        <f>+Nómina!C10</f>
        <v>42551</v>
      </c>
      <c r="F41" s="189">
        <f>+K43-K41</f>
        <v>182</v>
      </c>
      <c r="G41" s="189">
        <f>+I41-H41+1</f>
        <v>182</v>
      </c>
      <c r="H41" s="188">
        <f>IF(B40&lt;K41,K41,B40)</f>
        <v>42370</v>
      </c>
      <c r="I41" s="188">
        <f>IF(B41&lt;K44-1,B41,K43-1)</f>
        <v>42551</v>
      </c>
      <c r="J41" s="187" t="s">
        <v>210</v>
      </c>
      <c r="K41" s="188">
        <v>42370</v>
      </c>
      <c r="L41" s="132" t="s">
        <v>207</v>
      </c>
      <c r="M41" s="185">
        <f>IF(OR(B41=K44,B41=K43),+K41-#REF!+1,0)</f>
        <v>0</v>
      </c>
    </row>
    <row r="42" spans="1:17" hidden="1" x14ac:dyDescent="0.25">
      <c r="A42" s="171" t="str">
        <f>IF(Nómina!C6="Interino","Días del 2016 del curso 2015/16 para cálcular el % IRPF que aplica en 2016"," ")</f>
        <v>Días del 2016 del curso 2015/16 para cálcular el % IRPF que aplica en 2016</v>
      </c>
      <c r="B42" s="192">
        <f>IF(H13&lt;1,0,H13+1)</f>
        <v>205</v>
      </c>
      <c r="C42" s="185">
        <f>+B41-B40+1</f>
        <v>284</v>
      </c>
      <c r="F42" s="189">
        <f>+K46-K42+1</f>
        <v>183</v>
      </c>
      <c r="G42" s="189">
        <f>IF(+I42-H42=0,0,+I42-H42+1)</f>
        <v>0</v>
      </c>
      <c r="H42" s="188">
        <f>IF(B41=K44-1,K42,0)</f>
        <v>0</v>
      </c>
      <c r="I42" s="188">
        <f>IF(B41=+K44-1,B41,0)</f>
        <v>0</v>
      </c>
      <c r="J42" s="132" t="s">
        <v>213</v>
      </c>
      <c r="K42" s="186">
        <v>42522</v>
      </c>
      <c r="L42" s="132" t="s">
        <v>206</v>
      </c>
      <c r="M42" s="185">
        <f>IF(B41=K44,+K42-K40,IF(B41=K43,+K43-K40,0))</f>
        <v>0</v>
      </c>
    </row>
    <row r="43" spans="1:17" hidden="1" x14ac:dyDescent="0.25">
      <c r="A43" s="183" t="str">
        <f>IF(Nómina!C6="Interino","Fecha inicio del interino. Curso 2016/17"," ")</f>
        <v>Fecha inicio del interino. Curso 2016/17</v>
      </c>
      <c r="B43" s="191">
        <f>+Nómina!C11</f>
        <v>42614</v>
      </c>
      <c r="F43" s="189">
        <f>+K47-K43+1</f>
        <v>184</v>
      </c>
      <c r="G43" s="189">
        <f>IF(I43-H43=0,0,+I43-H43+1)</f>
        <v>0</v>
      </c>
      <c r="H43" s="188">
        <f>IF(B41=K44-1,K43,0)</f>
        <v>0</v>
      </c>
      <c r="I43" s="188">
        <f>IF(B41=+K44-1,B41,0)</f>
        <v>0</v>
      </c>
      <c r="J43" s="132" t="s">
        <v>214</v>
      </c>
      <c r="K43" s="186">
        <v>42552</v>
      </c>
      <c r="L43" s="132" t="s">
        <v>207</v>
      </c>
      <c r="M43" s="185">
        <f>IF(OR(B41=K44,B41=K43),K43-K41,0)</f>
        <v>0</v>
      </c>
    </row>
    <row r="44" spans="1:17" hidden="1" x14ac:dyDescent="0.25">
      <c r="A44" s="184" t="str">
        <f>IF(Nómina!C6="Interino","Fecha finalización. Curso 2016/17"," ")</f>
        <v>Fecha finalización. Curso 2016/17</v>
      </c>
      <c r="B44" s="191">
        <f>+Nómina!C12</f>
        <v>42978</v>
      </c>
      <c r="F44" s="189">
        <f>+K46-K42+1</f>
        <v>183</v>
      </c>
      <c r="G44" s="189">
        <f>IF(I44-H44=0,0,+I44-H44+1)</f>
        <v>91</v>
      </c>
      <c r="H44" s="182">
        <f>+B43</f>
        <v>42614</v>
      </c>
      <c r="I44" s="188">
        <f>IF(B44&gt;K47,K46,B44)</f>
        <v>42704</v>
      </c>
      <c r="J44" s="132" t="s">
        <v>212</v>
      </c>
      <c r="K44" s="186">
        <v>42614</v>
      </c>
      <c r="L44" s="132" t="s">
        <v>206</v>
      </c>
      <c r="M44" s="185">
        <f>IF(OR(B41=K44,B41=K43),K44-K42,0)</f>
        <v>0</v>
      </c>
      <c r="N44" s="182"/>
    </row>
    <row r="45" spans="1:17" hidden="1" x14ac:dyDescent="0.25">
      <c r="A45" s="143" t="str">
        <f>IF(Nómina!C6="Interino","Días a añadir del curso 2016/17, para estimar % IRPF a solicitar a aplicar a partir de enero 2016"," ")</f>
        <v>Días a añadir del curso 2016/17, para estimar % IRPF a solicitar a aplicar a partir de enero 2016</v>
      </c>
      <c r="B45" s="192">
        <f>IF(B44&gt;K47,K47-B43+1,B44-B43)</f>
        <v>122</v>
      </c>
      <c r="F45" s="189">
        <f>+K47-K43+1</f>
        <v>184</v>
      </c>
      <c r="G45" s="189">
        <f>IF(+I45-H45=0,0,+I45-H45+1)</f>
        <v>122</v>
      </c>
      <c r="H45" s="182">
        <f>+B43</f>
        <v>42614</v>
      </c>
      <c r="I45" s="188">
        <f>IF(B44&gt;K47,K47,B44)</f>
        <v>42735</v>
      </c>
      <c r="J45" s="132" t="s">
        <v>215</v>
      </c>
      <c r="K45" s="186">
        <v>42614</v>
      </c>
      <c r="L45" s="132" t="s">
        <v>207</v>
      </c>
      <c r="M45" s="185">
        <f>IF(OR(B41=K44,B41=K43),K44-K43,0)</f>
        <v>0</v>
      </c>
      <c r="N45" s="182"/>
    </row>
    <row r="46" spans="1:17" x14ac:dyDescent="0.25">
      <c r="J46" s="132" t="s">
        <v>216</v>
      </c>
      <c r="K46" s="186">
        <v>42704</v>
      </c>
      <c r="L46" s="132"/>
      <c r="M46" s="185">
        <f>IF(OR(B41=K44,B41=K43),K46-K44,0)</f>
        <v>0</v>
      </c>
    </row>
    <row r="47" spans="1:17" x14ac:dyDescent="0.25">
      <c r="I47" s="188"/>
      <c r="J47" s="132" t="s">
        <v>217</v>
      </c>
      <c r="K47" s="186">
        <v>42735</v>
      </c>
      <c r="L47" s="132"/>
      <c r="M47" s="185">
        <f>IF(OR(B41=K44,B41=K43),K47-K45,0)</f>
        <v>0</v>
      </c>
    </row>
    <row r="57" spans="8:9" x14ac:dyDescent="0.25">
      <c r="H57" s="182"/>
      <c r="I57" s="182"/>
    </row>
  </sheetData>
  <sheetProtection algorithmName="SHA-512" hashValue="dvk5FbPVCCyVOjC/zgBOQnSJXX8ySysGwAx7eFTG9Vm5Lvsqiq9gDbM34nrfPGZ/NgluZCw27nhR1fueZNgD0Q==" saltValue="BreG2pF+r+F/o4i5OyvcGg==" spinCount="100000" sheet="1" selectLockedCells="1"/>
  <mergeCells count="10">
    <mergeCell ref="A39:B39"/>
    <mergeCell ref="C19:C20"/>
    <mergeCell ref="A24:B24"/>
    <mergeCell ref="A27:B27"/>
    <mergeCell ref="A1:C1"/>
    <mergeCell ref="A2:C2"/>
    <mergeCell ref="A4:B4"/>
    <mergeCell ref="A10:B10"/>
    <mergeCell ref="C12:C13"/>
    <mergeCell ref="A17:B17"/>
  </mergeCells>
  <dataValidations disablePrompts="1" count="4">
    <dataValidation type="list" allowBlank="1" showInputMessage="1" showErrorMessage="1" sqref="B7:B8 B11">
      <formula1>$H$1:$H$2</formula1>
    </dataValidation>
    <dataValidation type="list" allowBlank="1" showInputMessage="1" showErrorMessage="1" sqref="B12:B15 B19:B21">
      <formula1>$H$3:$H$11</formula1>
    </dataValidation>
    <dataValidation type="list" allowBlank="1" showInputMessage="1" showErrorMessage="1" sqref="B18">
      <formula1>$H$4:$H$10</formula1>
    </dataValidation>
    <dataValidation type="list" allowBlank="1" showInputMessage="1" showErrorMessage="1" sqref="B22">
      <formula1>$H$3:$H$24</formula1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O54"/>
  <sheetViews>
    <sheetView workbookViewId="0">
      <selection activeCell="K26" sqref="K26"/>
    </sheetView>
  </sheetViews>
  <sheetFormatPr baseColWidth="10" defaultRowHeight="15" x14ac:dyDescent="0.25"/>
  <cols>
    <col min="1" max="1" width="3.140625" style="119" customWidth="1"/>
    <col min="2" max="2" width="6" style="119" bestFit="1" customWidth="1"/>
    <col min="3" max="3" width="4.85546875" style="119" bestFit="1" customWidth="1"/>
    <col min="4" max="4" width="40.7109375" style="119" customWidth="1"/>
    <col min="5" max="5" width="8.7109375" style="119" bestFit="1" customWidth="1"/>
    <col min="6" max="8" width="7.42578125" style="119" customWidth="1"/>
    <col min="9" max="9" width="13.42578125" style="119" customWidth="1"/>
    <col min="10" max="10" width="13.7109375" style="119" customWidth="1"/>
    <col min="11" max="11" width="11.28515625" style="119" customWidth="1"/>
    <col min="12" max="12" width="10.85546875" style="119" customWidth="1"/>
    <col min="13" max="13" width="13.7109375" style="119" customWidth="1"/>
    <col min="14" max="14" width="8.85546875" style="119" customWidth="1"/>
    <col min="15" max="15" width="7.42578125" style="119" customWidth="1"/>
    <col min="16" max="52" width="11.42578125" style="119" customWidth="1"/>
    <col min="53" max="256" width="11.42578125" style="119"/>
    <col min="257" max="257" width="3.140625" style="119" customWidth="1"/>
    <col min="258" max="258" width="6" style="119" bestFit="1" customWidth="1"/>
    <col min="259" max="259" width="4.85546875" style="119" bestFit="1" customWidth="1"/>
    <col min="260" max="260" width="40.7109375" style="119" customWidth="1"/>
    <col min="261" max="261" width="8.7109375" style="119" bestFit="1" customWidth="1"/>
    <col min="262" max="264" width="7.42578125" style="119" customWidth="1"/>
    <col min="265" max="266" width="12.42578125" style="119" customWidth="1"/>
    <col min="267" max="268" width="13.5703125" style="119" customWidth="1"/>
    <col min="269" max="269" width="17.28515625" style="119" customWidth="1"/>
    <col min="270" max="270" width="8.85546875" style="119" customWidth="1"/>
    <col min="271" max="271" width="7.42578125" style="119" customWidth="1"/>
    <col min="272" max="308" width="11.42578125" style="119" customWidth="1"/>
    <col min="309" max="512" width="11.42578125" style="119"/>
    <col min="513" max="513" width="3.140625" style="119" customWidth="1"/>
    <col min="514" max="514" width="6" style="119" bestFit="1" customWidth="1"/>
    <col min="515" max="515" width="4.85546875" style="119" bestFit="1" customWidth="1"/>
    <col min="516" max="516" width="40.7109375" style="119" customWidth="1"/>
    <col min="517" max="517" width="8.7109375" style="119" bestFit="1" customWidth="1"/>
    <col min="518" max="520" width="7.42578125" style="119" customWidth="1"/>
    <col min="521" max="522" width="12.42578125" style="119" customWidth="1"/>
    <col min="523" max="524" width="13.5703125" style="119" customWidth="1"/>
    <col min="525" max="525" width="17.28515625" style="119" customWidth="1"/>
    <col min="526" max="526" width="8.85546875" style="119" customWidth="1"/>
    <col min="527" max="527" width="7.42578125" style="119" customWidth="1"/>
    <col min="528" max="564" width="11.42578125" style="119" customWidth="1"/>
    <col min="565" max="768" width="11.42578125" style="119"/>
    <col min="769" max="769" width="3.140625" style="119" customWidth="1"/>
    <col min="770" max="770" width="6" style="119" bestFit="1" customWidth="1"/>
    <col min="771" max="771" width="4.85546875" style="119" bestFit="1" customWidth="1"/>
    <col min="772" max="772" width="40.7109375" style="119" customWidth="1"/>
    <col min="773" max="773" width="8.7109375" style="119" bestFit="1" customWidth="1"/>
    <col min="774" max="776" width="7.42578125" style="119" customWidth="1"/>
    <col min="777" max="778" width="12.42578125" style="119" customWidth="1"/>
    <col min="779" max="780" width="13.5703125" style="119" customWidth="1"/>
    <col min="781" max="781" width="17.28515625" style="119" customWidth="1"/>
    <col min="782" max="782" width="8.85546875" style="119" customWidth="1"/>
    <col min="783" max="783" width="7.42578125" style="119" customWidth="1"/>
    <col min="784" max="820" width="11.42578125" style="119" customWidth="1"/>
    <col min="821" max="1024" width="11.42578125" style="119"/>
    <col min="1025" max="1025" width="3.140625" style="119" customWidth="1"/>
    <col min="1026" max="1026" width="6" style="119" bestFit="1" customWidth="1"/>
    <col min="1027" max="1027" width="4.85546875" style="119" bestFit="1" customWidth="1"/>
    <col min="1028" max="1028" width="40.7109375" style="119" customWidth="1"/>
    <col min="1029" max="1029" width="8.7109375" style="119" bestFit="1" customWidth="1"/>
    <col min="1030" max="1032" width="7.42578125" style="119" customWidth="1"/>
    <col min="1033" max="1034" width="12.42578125" style="119" customWidth="1"/>
    <col min="1035" max="1036" width="13.5703125" style="119" customWidth="1"/>
    <col min="1037" max="1037" width="17.28515625" style="119" customWidth="1"/>
    <col min="1038" max="1038" width="8.85546875" style="119" customWidth="1"/>
    <col min="1039" max="1039" width="7.42578125" style="119" customWidth="1"/>
    <col min="1040" max="1076" width="11.42578125" style="119" customWidth="1"/>
    <col min="1077" max="1280" width="11.42578125" style="119"/>
    <col min="1281" max="1281" width="3.140625" style="119" customWidth="1"/>
    <col min="1282" max="1282" width="6" style="119" bestFit="1" customWidth="1"/>
    <col min="1283" max="1283" width="4.85546875" style="119" bestFit="1" customWidth="1"/>
    <col min="1284" max="1284" width="40.7109375" style="119" customWidth="1"/>
    <col min="1285" max="1285" width="8.7109375" style="119" bestFit="1" customWidth="1"/>
    <col min="1286" max="1288" width="7.42578125" style="119" customWidth="1"/>
    <col min="1289" max="1290" width="12.42578125" style="119" customWidth="1"/>
    <col min="1291" max="1292" width="13.5703125" style="119" customWidth="1"/>
    <col min="1293" max="1293" width="17.28515625" style="119" customWidth="1"/>
    <col min="1294" max="1294" width="8.85546875" style="119" customWidth="1"/>
    <col min="1295" max="1295" width="7.42578125" style="119" customWidth="1"/>
    <col min="1296" max="1332" width="11.42578125" style="119" customWidth="1"/>
    <col min="1333" max="1536" width="11.42578125" style="119"/>
    <col min="1537" max="1537" width="3.140625" style="119" customWidth="1"/>
    <col min="1538" max="1538" width="6" style="119" bestFit="1" customWidth="1"/>
    <col min="1539" max="1539" width="4.85546875" style="119" bestFit="1" customWidth="1"/>
    <col min="1540" max="1540" width="40.7109375" style="119" customWidth="1"/>
    <col min="1541" max="1541" width="8.7109375" style="119" bestFit="1" customWidth="1"/>
    <col min="1542" max="1544" width="7.42578125" style="119" customWidth="1"/>
    <col min="1545" max="1546" width="12.42578125" style="119" customWidth="1"/>
    <col min="1547" max="1548" width="13.5703125" style="119" customWidth="1"/>
    <col min="1549" max="1549" width="17.28515625" style="119" customWidth="1"/>
    <col min="1550" max="1550" width="8.85546875" style="119" customWidth="1"/>
    <col min="1551" max="1551" width="7.42578125" style="119" customWidth="1"/>
    <col min="1552" max="1588" width="11.42578125" style="119" customWidth="1"/>
    <col min="1589" max="1792" width="11.42578125" style="119"/>
    <col min="1793" max="1793" width="3.140625" style="119" customWidth="1"/>
    <col min="1794" max="1794" width="6" style="119" bestFit="1" customWidth="1"/>
    <col min="1795" max="1795" width="4.85546875" style="119" bestFit="1" customWidth="1"/>
    <col min="1796" max="1796" width="40.7109375" style="119" customWidth="1"/>
    <col min="1797" max="1797" width="8.7109375" style="119" bestFit="1" customWidth="1"/>
    <col min="1798" max="1800" width="7.42578125" style="119" customWidth="1"/>
    <col min="1801" max="1802" width="12.42578125" style="119" customWidth="1"/>
    <col min="1803" max="1804" width="13.5703125" style="119" customWidth="1"/>
    <col min="1805" max="1805" width="17.28515625" style="119" customWidth="1"/>
    <col min="1806" max="1806" width="8.85546875" style="119" customWidth="1"/>
    <col min="1807" max="1807" width="7.42578125" style="119" customWidth="1"/>
    <col min="1808" max="1844" width="11.42578125" style="119" customWidth="1"/>
    <col min="1845" max="2048" width="11.42578125" style="119"/>
    <col min="2049" max="2049" width="3.140625" style="119" customWidth="1"/>
    <col min="2050" max="2050" width="6" style="119" bestFit="1" customWidth="1"/>
    <col min="2051" max="2051" width="4.85546875" style="119" bestFit="1" customWidth="1"/>
    <col min="2052" max="2052" width="40.7109375" style="119" customWidth="1"/>
    <col min="2053" max="2053" width="8.7109375" style="119" bestFit="1" customWidth="1"/>
    <col min="2054" max="2056" width="7.42578125" style="119" customWidth="1"/>
    <col min="2057" max="2058" width="12.42578125" style="119" customWidth="1"/>
    <col min="2059" max="2060" width="13.5703125" style="119" customWidth="1"/>
    <col min="2061" max="2061" width="17.28515625" style="119" customWidth="1"/>
    <col min="2062" max="2062" width="8.85546875" style="119" customWidth="1"/>
    <col min="2063" max="2063" width="7.42578125" style="119" customWidth="1"/>
    <col min="2064" max="2100" width="11.42578125" style="119" customWidth="1"/>
    <col min="2101" max="2304" width="11.42578125" style="119"/>
    <col min="2305" max="2305" width="3.140625" style="119" customWidth="1"/>
    <col min="2306" max="2306" width="6" style="119" bestFit="1" customWidth="1"/>
    <col min="2307" max="2307" width="4.85546875" style="119" bestFit="1" customWidth="1"/>
    <col min="2308" max="2308" width="40.7109375" style="119" customWidth="1"/>
    <col min="2309" max="2309" width="8.7109375" style="119" bestFit="1" customWidth="1"/>
    <col min="2310" max="2312" width="7.42578125" style="119" customWidth="1"/>
    <col min="2313" max="2314" width="12.42578125" style="119" customWidth="1"/>
    <col min="2315" max="2316" width="13.5703125" style="119" customWidth="1"/>
    <col min="2317" max="2317" width="17.28515625" style="119" customWidth="1"/>
    <col min="2318" max="2318" width="8.85546875" style="119" customWidth="1"/>
    <col min="2319" max="2319" width="7.42578125" style="119" customWidth="1"/>
    <col min="2320" max="2356" width="11.42578125" style="119" customWidth="1"/>
    <col min="2357" max="2560" width="11.42578125" style="119"/>
    <col min="2561" max="2561" width="3.140625" style="119" customWidth="1"/>
    <col min="2562" max="2562" width="6" style="119" bestFit="1" customWidth="1"/>
    <col min="2563" max="2563" width="4.85546875" style="119" bestFit="1" customWidth="1"/>
    <col min="2564" max="2564" width="40.7109375" style="119" customWidth="1"/>
    <col min="2565" max="2565" width="8.7109375" style="119" bestFit="1" customWidth="1"/>
    <col min="2566" max="2568" width="7.42578125" style="119" customWidth="1"/>
    <col min="2569" max="2570" width="12.42578125" style="119" customWidth="1"/>
    <col min="2571" max="2572" width="13.5703125" style="119" customWidth="1"/>
    <col min="2573" max="2573" width="17.28515625" style="119" customWidth="1"/>
    <col min="2574" max="2574" width="8.85546875" style="119" customWidth="1"/>
    <col min="2575" max="2575" width="7.42578125" style="119" customWidth="1"/>
    <col min="2576" max="2612" width="11.42578125" style="119" customWidth="1"/>
    <col min="2613" max="2816" width="11.42578125" style="119"/>
    <col min="2817" max="2817" width="3.140625" style="119" customWidth="1"/>
    <col min="2818" max="2818" width="6" style="119" bestFit="1" customWidth="1"/>
    <col min="2819" max="2819" width="4.85546875" style="119" bestFit="1" customWidth="1"/>
    <col min="2820" max="2820" width="40.7109375" style="119" customWidth="1"/>
    <col min="2821" max="2821" width="8.7109375" style="119" bestFit="1" customWidth="1"/>
    <col min="2822" max="2824" width="7.42578125" style="119" customWidth="1"/>
    <col min="2825" max="2826" width="12.42578125" style="119" customWidth="1"/>
    <col min="2827" max="2828" width="13.5703125" style="119" customWidth="1"/>
    <col min="2829" max="2829" width="17.28515625" style="119" customWidth="1"/>
    <col min="2830" max="2830" width="8.85546875" style="119" customWidth="1"/>
    <col min="2831" max="2831" width="7.42578125" style="119" customWidth="1"/>
    <col min="2832" max="2868" width="11.42578125" style="119" customWidth="1"/>
    <col min="2869" max="3072" width="11.42578125" style="119"/>
    <col min="3073" max="3073" width="3.140625" style="119" customWidth="1"/>
    <col min="3074" max="3074" width="6" style="119" bestFit="1" customWidth="1"/>
    <col min="3075" max="3075" width="4.85546875" style="119" bestFit="1" customWidth="1"/>
    <col min="3076" max="3076" width="40.7109375" style="119" customWidth="1"/>
    <col min="3077" max="3077" width="8.7109375" style="119" bestFit="1" customWidth="1"/>
    <col min="3078" max="3080" width="7.42578125" style="119" customWidth="1"/>
    <col min="3081" max="3082" width="12.42578125" style="119" customWidth="1"/>
    <col min="3083" max="3084" width="13.5703125" style="119" customWidth="1"/>
    <col min="3085" max="3085" width="17.28515625" style="119" customWidth="1"/>
    <col min="3086" max="3086" width="8.85546875" style="119" customWidth="1"/>
    <col min="3087" max="3087" width="7.42578125" style="119" customWidth="1"/>
    <col min="3088" max="3124" width="11.42578125" style="119" customWidth="1"/>
    <col min="3125" max="3328" width="11.42578125" style="119"/>
    <col min="3329" max="3329" width="3.140625" style="119" customWidth="1"/>
    <col min="3330" max="3330" width="6" style="119" bestFit="1" customWidth="1"/>
    <col min="3331" max="3331" width="4.85546875" style="119" bestFit="1" customWidth="1"/>
    <col min="3332" max="3332" width="40.7109375" style="119" customWidth="1"/>
    <col min="3333" max="3333" width="8.7109375" style="119" bestFit="1" customWidth="1"/>
    <col min="3334" max="3336" width="7.42578125" style="119" customWidth="1"/>
    <col min="3337" max="3338" width="12.42578125" style="119" customWidth="1"/>
    <col min="3339" max="3340" width="13.5703125" style="119" customWidth="1"/>
    <col min="3341" max="3341" width="17.28515625" style="119" customWidth="1"/>
    <col min="3342" max="3342" width="8.85546875" style="119" customWidth="1"/>
    <col min="3343" max="3343" width="7.42578125" style="119" customWidth="1"/>
    <col min="3344" max="3380" width="11.42578125" style="119" customWidth="1"/>
    <col min="3381" max="3584" width="11.42578125" style="119"/>
    <col min="3585" max="3585" width="3.140625" style="119" customWidth="1"/>
    <col min="3586" max="3586" width="6" style="119" bestFit="1" customWidth="1"/>
    <col min="3587" max="3587" width="4.85546875" style="119" bestFit="1" customWidth="1"/>
    <col min="3588" max="3588" width="40.7109375" style="119" customWidth="1"/>
    <col min="3589" max="3589" width="8.7109375" style="119" bestFit="1" customWidth="1"/>
    <col min="3590" max="3592" width="7.42578125" style="119" customWidth="1"/>
    <col min="3593" max="3594" width="12.42578125" style="119" customWidth="1"/>
    <col min="3595" max="3596" width="13.5703125" style="119" customWidth="1"/>
    <col min="3597" max="3597" width="17.28515625" style="119" customWidth="1"/>
    <col min="3598" max="3598" width="8.85546875" style="119" customWidth="1"/>
    <col min="3599" max="3599" width="7.42578125" style="119" customWidth="1"/>
    <col min="3600" max="3636" width="11.42578125" style="119" customWidth="1"/>
    <col min="3637" max="3840" width="11.42578125" style="119"/>
    <col min="3841" max="3841" width="3.140625" style="119" customWidth="1"/>
    <col min="3842" max="3842" width="6" style="119" bestFit="1" customWidth="1"/>
    <col min="3843" max="3843" width="4.85546875" style="119" bestFit="1" customWidth="1"/>
    <col min="3844" max="3844" width="40.7109375" style="119" customWidth="1"/>
    <col min="3845" max="3845" width="8.7109375" style="119" bestFit="1" customWidth="1"/>
    <col min="3846" max="3848" width="7.42578125" style="119" customWidth="1"/>
    <col min="3849" max="3850" width="12.42578125" style="119" customWidth="1"/>
    <col min="3851" max="3852" width="13.5703125" style="119" customWidth="1"/>
    <col min="3853" max="3853" width="17.28515625" style="119" customWidth="1"/>
    <col min="3854" max="3854" width="8.85546875" style="119" customWidth="1"/>
    <col min="3855" max="3855" width="7.42578125" style="119" customWidth="1"/>
    <col min="3856" max="3892" width="11.42578125" style="119" customWidth="1"/>
    <col min="3893" max="4096" width="11.42578125" style="119"/>
    <col min="4097" max="4097" width="3.140625" style="119" customWidth="1"/>
    <col min="4098" max="4098" width="6" style="119" bestFit="1" customWidth="1"/>
    <col min="4099" max="4099" width="4.85546875" style="119" bestFit="1" customWidth="1"/>
    <col min="4100" max="4100" width="40.7109375" style="119" customWidth="1"/>
    <col min="4101" max="4101" width="8.7109375" style="119" bestFit="1" customWidth="1"/>
    <col min="4102" max="4104" width="7.42578125" style="119" customWidth="1"/>
    <col min="4105" max="4106" width="12.42578125" style="119" customWidth="1"/>
    <col min="4107" max="4108" width="13.5703125" style="119" customWidth="1"/>
    <col min="4109" max="4109" width="17.28515625" style="119" customWidth="1"/>
    <col min="4110" max="4110" width="8.85546875" style="119" customWidth="1"/>
    <col min="4111" max="4111" width="7.42578125" style="119" customWidth="1"/>
    <col min="4112" max="4148" width="11.42578125" style="119" customWidth="1"/>
    <col min="4149" max="4352" width="11.42578125" style="119"/>
    <col min="4353" max="4353" width="3.140625" style="119" customWidth="1"/>
    <col min="4354" max="4354" width="6" style="119" bestFit="1" customWidth="1"/>
    <col min="4355" max="4355" width="4.85546875" style="119" bestFit="1" customWidth="1"/>
    <col min="4356" max="4356" width="40.7109375" style="119" customWidth="1"/>
    <col min="4357" max="4357" width="8.7109375" style="119" bestFit="1" customWidth="1"/>
    <col min="4358" max="4360" width="7.42578125" style="119" customWidth="1"/>
    <col min="4361" max="4362" width="12.42578125" style="119" customWidth="1"/>
    <col min="4363" max="4364" width="13.5703125" style="119" customWidth="1"/>
    <col min="4365" max="4365" width="17.28515625" style="119" customWidth="1"/>
    <col min="4366" max="4366" width="8.85546875" style="119" customWidth="1"/>
    <col min="4367" max="4367" width="7.42578125" style="119" customWidth="1"/>
    <col min="4368" max="4404" width="11.42578125" style="119" customWidth="1"/>
    <col min="4405" max="4608" width="11.42578125" style="119"/>
    <col min="4609" max="4609" width="3.140625" style="119" customWidth="1"/>
    <col min="4610" max="4610" width="6" style="119" bestFit="1" customWidth="1"/>
    <col min="4611" max="4611" width="4.85546875" style="119" bestFit="1" customWidth="1"/>
    <col min="4612" max="4612" width="40.7109375" style="119" customWidth="1"/>
    <col min="4613" max="4613" width="8.7109375" style="119" bestFit="1" customWidth="1"/>
    <col min="4614" max="4616" width="7.42578125" style="119" customWidth="1"/>
    <col min="4617" max="4618" width="12.42578125" style="119" customWidth="1"/>
    <col min="4619" max="4620" width="13.5703125" style="119" customWidth="1"/>
    <col min="4621" max="4621" width="17.28515625" style="119" customWidth="1"/>
    <col min="4622" max="4622" width="8.85546875" style="119" customWidth="1"/>
    <col min="4623" max="4623" width="7.42578125" style="119" customWidth="1"/>
    <col min="4624" max="4660" width="11.42578125" style="119" customWidth="1"/>
    <col min="4661" max="4864" width="11.42578125" style="119"/>
    <col min="4865" max="4865" width="3.140625" style="119" customWidth="1"/>
    <col min="4866" max="4866" width="6" style="119" bestFit="1" customWidth="1"/>
    <col min="4867" max="4867" width="4.85546875" style="119" bestFit="1" customWidth="1"/>
    <col min="4868" max="4868" width="40.7109375" style="119" customWidth="1"/>
    <col min="4869" max="4869" width="8.7109375" style="119" bestFit="1" customWidth="1"/>
    <col min="4870" max="4872" width="7.42578125" style="119" customWidth="1"/>
    <col min="4873" max="4874" width="12.42578125" style="119" customWidth="1"/>
    <col min="4875" max="4876" width="13.5703125" style="119" customWidth="1"/>
    <col min="4877" max="4877" width="17.28515625" style="119" customWidth="1"/>
    <col min="4878" max="4878" width="8.85546875" style="119" customWidth="1"/>
    <col min="4879" max="4879" width="7.42578125" style="119" customWidth="1"/>
    <col min="4880" max="4916" width="11.42578125" style="119" customWidth="1"/>
    <col min="4917" max="5120" width="11.42578125" style="119"/>
    <col min="5121" max="5121" width="3.140625" style="119" customWidth="1"/>
    <col min="5122" max="5122" width="6" style="119" bestFit="1" customWidth="1"/>
    <col min="5123" max="5123" width="4.85546875" style="119" bestFit="1" customWidth="1"/>
    <col min="5124" max="5124" width="40.7109375" style="119" customWidth="1"/>
    <col min="5125" max="5125" width="8.7109375" style="119" bestFit="1" customWidth="1"/>
    <col min="5126" max="5128" width="7.42578125" style="119" customWidth="1"/>
    <col min="5129" max="5130" width="12.42578125" style="119" customWidth="1"/>
    <col min="5131" max="5132" width="13.5703125" style="119" customWidth="1"/>
    <col min="5133" max="5133" width="17.28515625" style="119" customWidth="1"/>
    <col min="5134" max="5134" width="8.85546875" style="119" customWidth="1"/>
    <col min="5135" max="5135" width="7.42578125" style="119" customWidth="1"/>
    <col min="5136" max="5172" width="11.42578125" style="119" customWidth="1"/>
    <col min="5173" max="5376" width="11.42578125" style="119"/>
    <col min="5377" max="5377" width="3.140625" style="119" customWidth="1"/>
    <col min="5378" max="5378" width="6" style="119" bestFit="1" customWidth="1"/>
    <col min="5379" max="5379" width="4.85546875" style="119" bestFit="1" customWidth="1"/>
    <col min="5380" max="5380" width="40.7109375" style="119" customWidth="1"/>
    <col min="5381" max="5381" width="8.7109375" style="119" bestFit="1" customWidth="1"/>
    <col min="5382" max="5384" width="7.42578125" style="119" customWidth="1"/>
    <col min="5385" max="5386" width="12.42578125" style="119" customWidth="1"/>
    <col min="5387" max="5388" width="13.5703125" style="119" customWidth="1"/>
    <col min="5389" max="5389" width="17.28515625" style="119" customWidth="1"/>
    <col min="5390" max="5390" width="8.85546875" style="119" customWidth="1"/>
    <col min="5391" max="5391" width="7.42578125" style="119" customWidth="1"/>
    <col min="5392" max="5428" width="11.42578125" style="119" customWidth="1"/>
    <col min="5429" max="5632" width="11.42578125" style="119"/>
    <col min="5633" max="5633" width="3.140625" style="119" customWidth="1"/>
    <col min="5634" max="5634" width="6" style="119" bestFit="1" customWidth="1"/>
    <col min="5635" max="5635" width="4.85546875" style="119" bestFit="1" customWidth="1"/>
    <col min="5636" max="5636" width="40.7109375" style="119" customWidth="1"/>
    <col min="5637" max="5637" width="8.7109375" style="119" bestFit="1" customWidth="1"/>
    <col min="5638" max="5640" width="7.42578125" style="119" customWidth="1"/>
    <col min="5641" max="5642" width="12.42578125" style="119" customWidth="1"/>
    <col min="5643" max="5644" width="13.5703125" style="119" customWidth="1"/>
    <col min="5645" max="5645" width="17.28515625" style="119" customWidth="1"/>
    <col min="5646" max="5646" width="8.85546875" style="119" customWidth="1"/>
    <col min="5647" max="5647" width="7.42578125" style="119" customWidth="1"/>
    <col min="5648" max="5684" width="11.42578125" style="119" customWidth="1"/>
    <col min="5685" max="5888" width="11.42578125" style="119"/>
    <col min="5889" max="5889" width="3.140625" style="119" customWidth="1"/>
    <col min="5890" max="5890" width="6" style="119" bestFit="1" customWidth="1"/>
    <col min="5891" max="5891" width="4.85546875" style="119" bestFit="1" customWidth="1"/>
    <col min="5892" max="5892" width="40.7109375" style="119" customWidth="1"/>
    <col min="5893" max="5893" width="8.7109375" style="119" bestFit="1" customWidth="1"/>
    <col min="5894" max="5896" width="7.42578125" style="119" customWidth="1"/>
    <col min="5897" max="5898" width="12.42578125" style="119" customWidth="1"/>
    <col min="5899" max="5900" width="13.5703125" style="119" customWidth="1"/>
    <col min="5901" max="5901" width="17.28515625" style="119" customWidth="1"/>
    <col min="5902" max="5902" width="8.85546875" style="119" customWidth="1"/>
    <col min="5903" max="5903" width="7.42578125" style="119" customWidth="1"/>
    <col min="5904" max="5940" width="11.42578125" style="119" customWidth="1"/>
    <col min="5941" max="6144" width="11.42578125" style="119"/>
    <col min="6145" max="6145" width="3.140625" style="119" customWidth="1"/>
    <col min="6146" max="6146" width="6" style="119" bestFit="1" customWidth="1"/>
    <col min="6147" max="6147" width="4.85546875" style="119" bestFit="1" customWidth="1"/>
    <col min="6148" max="6148" width="40.7109375" style="119" customWidth="1"/>
    <col min="6149" max="6149" width="8.7109375" style="119" bestFit="1" customWidth="1"/>
    <col min="6150" max="6152" width="7.42578125" style="119" customWidth="1"/>
    <col min="6153" max="6154" width="12.42578125" style="119" customWidth="1"/>
    <col min="6155" max="6156" width="13.5703125" style="119" customWidth="1"/>
    <col min="6157" max="6157" width="17.28515625" style="119" customWidth="1"/>
    <col min="6158" max="6158" width="8.85546875" style="119" customWidth="1"/>
    <col min="6159" max="6159" width="7.42578125" style="119" customWidth="1"/>
    <col min="6160" max="6196" width="11.42578125" style="119" customWidth="1"/>
    <col min="6197" max="6400" width="11.42578125" style="119"/>
    <col min="6401" max="6401" width="3.140625" style="119" customWidth="1"/>
    <col min="6402" max="6402" width="6" style="119" bestFit="1" customWidth="1"/>
    <col min="6403" max="6403" width="4.85546875" style="119" bestFit="1" customWidth="1"/>
    <col min="6404" max="6404" width="40.7109375" style="119" customWidth="1"/>
    <col min="6405" max="6405" width="8.7109375" style="119" bestFit="1" customWidth="1"/>
    <col min="6406" max="6408" width="7.42578125" style="119" customWidth="1"/>
    <col min="6409" max="6410" width="12.42578125" style="119" customWidth="1"/>
    <col min="6411" max="6412" width="13.5703125" style="119" customWidth="1"/>
    <col min="6413" max="6413" width="17.28515625" style="119" customWidth="1"/>
    <col min="6414" max="6414" width="8.85546875" style="119" customWidth="1"/>
    <col min="6415" max="6415" width="7.42578125" style="119" customWidth="1"/>
    <col min="6416" max="6452" width="11.42578125" style="119" customWidth="1"/>
    <col min="6453" max="6656" width="11.42578125" style="119"/>
    <col min="6657" max="6657" width="3.140625" style="119" customWidth="1"/>
    <col min="6658" max="6658" width="6" style="119" bestFit="1" customWidth="1"/>
    <col min="6659" max="6659" width="4.85546875" style="119" bestFit="1" customWidth="1"/>
    <col min="6660" max="6660" width="40.7109375" style="119" customWidth="1"/>
    <col min="6661" max="6661" width="8.7109375" style="119" bestFit="1" customWidth="1"/>
    <col min="6662" max="6664" width="7.42578125" style="119" customWidth="1"/>
    <col min="6665" max="6666" width="12.42578125" style="119" customWidth="1"/>
    <col min="6667" max="6668" width="13.5703125" style="119" customWidth="1"/>
    <col min="6669" max="6669" width="17.28515625" style="119" customWidth="1"/>
    <col min="6670" max="6670" width="8.85546875" style="119" customWidth="1"/>
    <col min="6671" max="6671" width="7.42578125" style="119" customWidth="1"/>
    <col min="6672" max="6708" width="11.42578125" style="119" customWidth="1"/>
    <col min="6709" max="6912" width="11.42578125" style="119"/>
    <col min="6913" max="6913" width="3.140625" style="119" customWidth="1"/>
    <col min="6914" max="6914" width="6" style="119" bestFit="1" customWidth="1"/>
    <col min="6915" max="6915" width="4.85546875" style="119" bestFit="1" customWidth="1"/>
    <col min="6916" max="6916" width="40.7109375" style="119" customWidth="1"/>
    <col min="6917" max="6917" width="8.7109375" style="119" bestFit="1" customWidth="1"/>
    <col min="6918" max="6920" width="7.42578125" style="119" customWidth="1"/>
    <col min="6921" max="6922" width="12.42578125" style="119" customWidth="1"/>
    <col min="6923" max="6924" width="13.5703125" style="119" customWidth="1"/>
    <col min="6925" max="6925" width="17.28515625" style="119" customWidth="1"/>
    <col min="6926" max="6926" width="8.85546875" style="119" customWidth="1"/>
    <col min="6927" max="6927" width="7.42578125" style="119" customWidth="1"/>
    <col min="6928" max="6964" width="11.42578125" style="119" customWidth="1"/>
    <col min="6965" max="7168" width="11.42578125" style="119"/>
    <col min="7169" max="7169" width="3.140625" style="119" customWidth="1"/>
    <col min="7170" max="7170" width="6" style="119" bestFit="1" customWidth="1"/>
    <col min="7171" max="7171" width="4.85546875" style="119" bestFit="1" customWidth="1"/>
    <col min="7172" max="7172" width="40.7109375" style="119" customWidth="1"/>
    <col min="7173" max="7173" width="8.7109375" style="119" bestFit="1" customWidth="1"/>
    <col min="7174" max="7176" width="7.42578125" style="119" customWidth="1"/>
    <col min="7177" max="7178" width="12.42578125" style="119" customWidth="1"/>
    <col min="7179" max="7180" width="13.5703125" style="119" customWidth="1"/>
    <col min="7181" max="7181" width="17.28515625" style="119" customWidth="1"/>
    <col min="7182" max="7182" width="8.85546875" style="119" customWidth="1"/>
    <col min="7183" max="7183" width="7.42578125" style="119" customWidth="1"/>
    <col min="7184" max="7220" width="11.42578125" style="119" customWidth="1"/>
    <col min="7221" max="7424" width="11.42578125" style="119"/>
    <col min="7425" max="7425" width="3.140625" style="119" customWidth="1"/>
    <col min="7426" max="7426" width="6" style="119" bestFit="1" customWidth="1"/>
    <col min="7427" max="7427" width="4.85546875" style="119" bestFit="1" customWidth="1"/>
    <col min="7428" max="7428" width="40.7109375" style="119" customWidth="1"/>
    <col min="7429" max="7429" width="8.7109375" style="119" bestFit="1" customWidth="1"/>
    <col min="7430" max="7432" width="7.42578125" style="119" customWidth="1"/>
    <col min="7433" max="7434" width="12.42578125" style="119" customWidth="1"/>
    <col min="7435" max="7436" width="13.5703125" style="119" customWidth="1"/>
    <col min="7437" max="7437" width="17.28515625" style="119" customWidth="1"/>
    <col min="7438" max="7438" width="8.85546875" style="119" customWidth="1"/>
    <col min="7439" max="7439" width="7.42578125" style="119" customWidth="1"/>
    <col min="7440" max="7476" width="11.42578125" style="119" customWidth="1"/>
    <col min="7477" max="7680" width="11.42578125" style="119"/>
    <col min="7681" max="7681" width="3.140625" style="119" customWidth="1"/>
    <col min="7682" max="7682" width="6" style="119" bestFit="1" customWidth="1"/>
    <col min="7683" max="7683" width="4.85546875" style="119" bestFit="1" customWidth="1"/>
    <col min="7684" max="7684" width="40.7109375" style="119" customWidth="1"/>
    <col min="7685" max="7685" width="8.7109375" style="119" bestFit="1" customWidth="1"/>
    <col min="7686" max="7688" width="7.42578125" style="119" customWidth="1"/>
    <col min="7689" max="7690" width="12.42578125" style="119" customWidth="1"/>
    <col min="7691" max="7692" width="13.5703125" style="119" customWidth="1"/>
    <col min="7693" max="7693" width="17.28515625" style="119" customWidth="1"/>
    <col min="7694" max="7694" width="8.85546875" style="119" customWidth="1"/>
    <col min="7695" max="7695" width="7.42578125" style="119" customWidth="1"/>
    <col min="7696" max="7732" width="11.42578125" style="119" customWidth="1"/>
    <col min="7733" max="7936" width="11.42578125" style="119"/>
    <col min="7937" max="7937" width="3.140625" style="119" customWidth="1"/>
    <col min="7938" max="7938" width="6" style="119" bestFit="1" customWidth="1"/>
    <col min="7939" max="7939" width="4.85546875" style="119" bestFit="1" customWidth="1"/>
    <col min="7940" max="7940" width="40.7109375" style="119" customWidth="1"/>
    <col min="7941" max="7941" width="8.7109375" style="119" bestFit="1" customWidth="1"/>
    <col min="7942" max="7944" width="7.42578125" style="119" customWidth="1"/>
    <col min="7945" max="7946" width="12.42578125" style="119" customWidth="1"/>
    <col min="7947" max="7948" width="13.5703125" style="119" customWidth="1"/>
    <col min="7949" max="7949" width="17.28515625" style="119" customWidth="1"/>
    <col min="7950" max="7950" width="8.85546875" style="119" customWidth="1"/>
    <col min="7951" max="7951" width="7.42578125" style="119" customWidth="1"/>
    <col min="7952" max="7988" width="11.42578125" style="119" customWidth="1"/>
    <col min="7989" max="8192" width="11.42578125" style="119"/>
    <col min="8193" max="8193" width="3.140625" style="119" customWidth="1"/>
    <col min="8194" max="8194" width="6" style="119" bestFit="1" customWidth="1"/>
    <col min="8195" max="8195" width="4.85546875" style="119" bestFit="1" customWidth="1"/>
    <col min="8196" max="8196" width="40.7109375" style="119" customWidth="1"/>
    <col min="8197" max="8197" width="8.7109375" style="119" bestFit="1" customWidth="1"/>
    <col min="8198" max="8200" width="7.42578125" style="119" customWidth="1"/>
    <col min="8201" max="8202" width="12.42578125" style="119" customWidth="1"/>
    <col min="8203" max="8204" width="13.5703125" style="119" customWidth="1"/>
    <col min="8205" max="8205" width="17.28515625" style="119" customWidth="1"/>
    <col min="8206" max="8206" width="8.85546875" style="119" customWidth="1"/>
    <col min="8207" max="8207" width="7.42578125" style="119" customWidth="1"/>
    <col min="8208" max="8244" width="11.42578125" style="119" customWidth="1"/>
    <col min="8245" max="8448" width="11.42578125" style="119"/>
    <col min="8449" max="8449" width="3.140625" style="119" customWidth="1"/>
    <col min="8450" max="8450" width="6" style="119" bestFit="1" customWidth="1"/>
    <col min="8451" max="8451" width="4.85546875" style="119" bestFit="1" customWidth="1"/>
    <col min="8452" max="8452" width="40.7109375" style="119" customWidth="1"/>
    <col min="8453" max="8453" width="8.7109375" style="119" bestFit="1" customWidth="1"/>
    <col min="8454" max="8456" width="7.42578125" style="119" customWidth="1"/>
    <col min="8457" max="8458" width="12.42578125" style="119" customWidth="1"/>
    <col min="8459" max="8460" width="13.5703125" style="119" customWidth="1"/>
    <col min="8461" max="8461" width="17.28515625" style="119" customWidth="1"/>
    <col min="8462" max="8462" width="8.85546875" style="119" customWidth="1"/>
    <col min="8463" max="8463" width="7.42578125" style="119" customWidth="1"/>
    <col min="8464" max="8500" width="11.42578125" style="119" customWidth="1"/>
    <col min="8501" max="8704" width="11.42578125" style="119"/>
    <col min="8705" max="8705" width="3.140625" style="119" customWidth="1"/>
    <col min="8706" max="8706" width="6" style="119" bestFit="1" customWidth="1"/>
    <col min="8707" max="8707" width="4.85546875" style="119" bestFit="1" customWidth="1"/>
    <col min="8708" max="8708" width="40.7109375" style="119" customWidth="1"/>
    <col min="8709" max="8709" width="8.7109375" style="119" bestFit="1" customWidth="1"/>
    <col min="8710" max="8712" width="7.42578125" style="119" customWidth="1"/>
    <col min="8713" max="8714" width="12.42578125" style="119" customWidth="1"/>
    <col min="8715" max="8716" width="13.5703125" style="119" customWidth="1"/>
    <col min="8717" max="8717" width="17.28515625" style="119" customWidth="1"/>
    <col min="8718" max="8718" width="8.85546875" style="119" customWidth="1"/>
    <col min="8719" max="8719" width="7.42578125" style="119" customWidth="1"/>
    <col min="8720" max="8756" width="11.42578125" style="119" customWidth="1"/>
    <col min="8757" max="8960" width="11.42578125" style="119"/>
    <col min="8961" max="8961" width="3.140625" style="119" customWidth="1"/>
    <col min="8962" max="8962" width="6" style="119" bestFit="1" customWidth="1"/>
    <col min="8963" max="8963" width="4.85546875" style="119" bestFit="1" customWidth="1"/>
    <col min="8964" max="8964" width="40.7109375" style="119" customWidth="1"/>
    <col min="8965" max="8965" width="8.7109375" style="119" bestFit="1" customWidth="1"/>
    <col min="8966" max="8968" width="7.42578125" style="119" customWidth="1"/>
    <col min="8969" max="8970" width="12.42578125" style="119" customWidth="1"/>
    <col min="8971" max="8972" width="13.5703125" style="119" customWidth="1"/>
    <col min="8973" max="8973" width="17.28515625" style="119" customWidth="1"/>
    <col min="8974" max="8974" width="8.85546875" style="119" customWidth="1"/>
    <col min="8975" max="8975" width="7.42578125" style="119" customWidth="1"/>
    <col min="8976" max="9012" width="11.42578125" style="119" customWidth="1"/>
    <col min="9013" max="9216" width="11.42578125" style="119"/>
    <col min="9217" max="9217" width="3.140625" style="119" customWidth="1"/>
    <col min="9218" max="9218" width="6" style="119" bestFit="1" customWidth="1"/>
    <col min="9219" max="9219" width="4.85546875" style="119" bestFit="1" customWidth="1"/>
    <col min="9220" max="9220" width="40.7109375" style="119" customWidth="1"/>
    <col min="9221" max="9221" width="8.7109375" style="119" bestFit="1" customWidth="1"/>
    <col min="9222" max="9224" width="7.42578125" style="119" customWidth="1"/>
    <col min="9225" max="9226" width="12.42578125" style="119" customWidth="1"/>
    <col min="9227" max="9228" width="13.5703125" style="119" customWidth="1"/>
    <col min="9229" max="9229" width="17.28515625" style="119" customWidth="1"/>
    <col min="9230" max="9230" width="8.85546875" style="119" customWidth="1"/>
    <col min="9231" max="9231" width="7.42578125" style="119" customWidth="1"/>
    <col min="9232" max="9268" width="11.42578125" style="119" customWidth="1"/>
    <col min="9269" max="9472" width="11.42578125" style="119"/>
    <col min="9473" max="9473" width="3.140625" style="119" customWidth="1"/>
    <col min="9474" max="9474" width="6" style="119" bestFit="1" customWidth="1"/>
    <col min="9475" max="9475" width="4.85546875" style="119" bestFit="1" customWidth="1"/>
    <col min="9476" max="9476" width="40.7109375" style="119" customWidth="1"/>
    <col min="9477" max="9477" width="8.7109375" style="119" bestFit="1" customWidth="1"/>
    <col min="9478" max="9480" width="7.42578125" style="119" customWidth="1"/>
    <col min="9481" max="9482" width="12.42578125" style="119" customWidth="1"/>
    <col min="9483" max="9484" width="13.5703125" style="119" customWidth="1"/>
    <col min="9485" max="9485" width="17.28515625" style="119" customWidth="1"/>
    <col min="9486" max="9486" width="8.85546875" style="119" customWidth="1"/>
    <col min="9487" max="9487" width="7.42578125" style="119" customWidth="1"/>
    <col min="9488" max="9524" width="11.42578125" style="119" customWidth="1"/>
    <col min="9525" max="9728" width="11.42578125" style="119"/>
    <col min="9729" max="9729" width="3.140625" style="119" customWidth="1"/>
    <col min="9730" max="9730" width="6" style="119" bestFit="1" customWidth="1"/>
    <col min="9731" max="9731" width="4.85546875" style="119" bestFit="1" customWidth="1"/>
    <col min="9732" max="9732" width="40.7109375" style="119" customWidth="1"/>
    <col min="9733" max="9733" width="8.7109375" style="119" bestFit="1" customWidth="1"/>
    <col min="9734" max="9736" width="7.42578125" style="119" customWidth="1"/>
    <col min="9737" max="9738" width="12.42578125" style="119" customWidth="1"/>
    <col min="9739" max="9740" width="13.5703125" style="119" customWidth="1"/>
    <col min="9741" max="9741" width="17.28515625" style="119" customWidth="1"/>
    <col min="9742" max="9742" width="8.85546875" style="119" customWidth="1"/>
    <col min="9743" max="9743" width="7.42578125" style="119" customWidth="1"/>
    <col min="9744" max="9780" width="11.42578125" style="119" customWidth="1"/>
    <col min="9781" max="9984" width="11.42578125" style="119"/>
    <col min="9985" max="9985" width="3.140625" style="119" customWidth="1"/>
    <col min="9986" max="9986" width="6" style="119" bestFit="1" customWidth="1"/>
    <col min="9987" max="9987" width="4.85546875" style="119" bestFit="1" customWidth="1"/>
    <col min="9988" max="9988" width="40.7109375" style="119" customWidth="1"/>
    <col min="9989" max="9989" width="8.7109375" style="119" bestFit="1" customWidth="1"/>
    <col min="9990" max="9992" width="7.42578125" style="119" customWidth="1"/>
    <col min="9993" max="9994" width="12.42578125" style="119" customWidth="1"/>
    <col min="9995" max="9996" width="13.5703125" style="119" customWidth="1"/>
    <col min="9997" max="9997" width="17.28515625" style="119" customWidth="1"/>
    <col min="9998" max="9998" width="8.85546875" style="119" customWidth="1"/>
    <col min="9999" max="9999" width="7.42578125" style="119" customWidth="1"/>
    <col min="10000" max="10036" width="11.42578125" style="119" customWidth="1"/>
    <col min="10037" max="10240" width="11.42578125" style="119"/>
    <col min="10241" max="10241" width="3.140625" style="119" customWidth="1"/>
    <col min="10242" max="10242" width="6" style="119" bestFit="1" customWidth="1"/>
    <col min="10243" max="10243" width="4.85546875" style="119" bestFit="1" customWidth="1"/>
    <col min="10244" max="10244" width="40.7109375" style="119" customWidth="1"/>
    <col min="10245" max="10245" width="8.7109375" style="119" bestFit="1" customWidth="1"/>
    <col min="10246" max="10248" width="7.42578125" style="119" customWidth="1"/>
    <col min="10249" max="10250" width="12.42578125" style="119" customWidth="1"/>
    <col min="10251" max="10252" width="13.5703125" style="119" customWidth="1"/>
    <col min="10253" max="10253" width="17.28515625" style="119" customWidth="1"/>
    <col min="10254" max="10254" width="8.85546875" style="119" customWidth="1"/>
    <col min="10255" max="10255" width="7.42578125" style="119" customWidth="1"/>
    <col min="10256" max="10292" width="11.42578125" style="119" customWidth="1"/>
    <col min="10293" max="10496" width="11.42578125" style="119"/>
    <col min="10497" max="10497" width="3.140625" style="119" customWidth="1"/>
    <col min="10498" max="10498" width="6" style="119" bestFit="1" customWidth="1"/>
    <col min="10499" max="10499" width="4.85546875" style="119" bestFit="1" customWidth="1"/>
    <col min="10500" max="10500" width="40.7109375" style="119" customWidth="1"/>
    <col min="10501" max="10501" width="8.7109375" style="119" bestFit="1" customWidth="1"/>
    <col min="10502" max="10504" width="7.42578125" style="119" customWidth="1"/>
    <col min="10505" max="10506" width="12.42578125" style="119" customWidth="1"/>
    <col min="10507" max="10508" width="13.5703125" style="119" customWidth="1"/>
    <col min="10509" max="10509" width="17.28515625" style="119" customWidth="1"/>
    <col min="10510" max="10510" width="8.85546875" style="119" customWidth="1"/>
    <col min="10511" max="10511" width="7.42578125" style="119" customWidth="1"/>
    <col min="10512" max="10548" width="11.42578125" style="119" customWidth="1"/>
    <col min="10549" max="10752" width="11.42578125" style="119"/>
    <col min="10753" max="10753" width="3.140625" style="119" customWidth="1"/>
    <col min="10754" max="10754" width="6" style="119" bestFit="1" customWidth="1"/>
    <col min="10755" max="10755" width="4.85546875" style="119" bestFit="1" customWidth="1"/>
    <col min="10756" max="10756" width="40.7109375" style="119" customWidth="1"/>
    <col min="10757" max="10757" width="8.7109375" style="119" bestFit="1" customWidth="1"/>
    <col min="10758" max="10760" width="7.42578125" style="119" customWidth="1"/>
    <col min="10761" max="10762" width="12.42578125" style="119" customWidth="1"/>
    <col min="10763" max="10764" width="13.5703125" style="119" customWidth="1"/>
    <col min="10765" max="10765" width="17.28515625" style="119" customWidth="1"/>
    <col min="10766" max="10766" width="8.85546875" style="119" customWidth="1"/>
    <col min="10767" max="10767" width="7.42578125" style="119" customWidth="1"/>
    <col min="10768" max="10804" width="11.42578125" style="119" customWidth="1"/>
    <col min="10805" max="11008" width="11.42578125" style="119"/>
    <col min="11009" max="11009" width="3.140625" style="119" customWidth="1"/>
    <col min="11010" max="11010" width="6" style="119" bestFit="1" customWidth="1"/>
    <col min="11011" max="11011" width="4.85546875" style="119" bestFit="1" customWidth="1"/>
    <col min="11012" max="11012" width="40.7109375" style="119" customWidth="1"/>
    <col min="11013" max="11013" width="8.7109375" style="119" bestFit="1" customWidth="1"/>
    <col min="11014" max="11016" width="7.42578125" style="119" customWidth="1"/>
    <col min="11017" max="11018" width="12.42578125" style="119" customWidth="1"/>
    <col min="11019" max="11020" width="13.5703125" style="119" customWidth="1"/>
    <col min="11021" max="11021" width="17.28515625" style="119" customWidth="1"/>
    <col min="11022" max="11022" width="8.85546875" style="119" customWidth="1"/>
    <col min="11023" max="11023" width="7.42578125" style="119" customWidth="1"/>
    <col min="11024" max="11060" width="11.42578125" style="119" customWidth="1"/>
    <col min="11061" max="11264" width="11.42578125" style="119"/>
    <col min="11265" max="11265" width="3.140625" style="119" customWidth="1"/>
    <col min="11266" max="11266" width="6" style="119" bestFit="1" customWidth="1"/>
    <col min="11267" max="11267" width="4.85546875" style="119" bestFit="1" customWidth="1"/>
    <col min="11268" max="11268" width="40.7109375" style="119" customWidth="1"/>
    <col min="11269" max="11269" width="8.7109375" style="119" bestFit="1" customWidth="1"/>
    <col min="11270" max="11272" width="7.42578125" style="119" customWidth="1"/>
    <col min="11273" max="11274" width="12.42578125" style="119" customWidth="1"/>
    <col min="11275" max="11276" width="13.5703125" style="119" customWidth="1"/>
    <col min="11277" max="11277" width="17.28515625" style="119" customWidth="1"/>
    <col min="11278" max="11278" width="8.85546875" style="119" customWidth="1"/>
    <col min="11279" max="11279" width="7.42578125" style="119" customWidth="1"/>
    <col min="11280" max="11316" width="11.42578125" style="119" customWidth="1"/>
    <col min="11317" max="11520" width="11.42578125" style="119"/>
    <col min="11521" max="11521" width="3.140625" style="119" customWidth="1"/>
    <col min="11522" max="11522" width="6" style="119" bestFit="1" customWidth="1"/>
    <col min="11523" max="11523" width="4.85546875" style="119" bestFit="1" customWidth="1"/>
    <col min="11524" max="11524" width="40.7109375" style="119" customWidth="1"/>
    <col min="11525" max="11525" width="8.7109375" style="119" bestFit="1" customWidth="1"/>
    <col min="11526" max="11528" width="7.42578125" style="119" customWidth="1"/>
    <col min="11529" max="11530" width="12.42578125" style="119" customWidth="1"/>
    <col min="11531" max="11532" width="13.5703125" style="119" customWidth="1"/>
    <col min="11533" max="11533" width="17.28515625" style="119" customWidth="1"/>
    <col min="11534" max="11534" width="8.85546875" style="119" customWidth="1"/>
    <col min="11535" max="11535" width="7.42578125" style="119" customWidth="1"/>
    <col min="11536" max="11572" width="11.42578125" style="119" customWidth="1"/>
    <col min="11573" max="11776" width="11.42578125" style="119"/>
    <col min="11777" max="11777" width="3.140625" style="119" customWidth="1"/>
    <col min="11778" max="11778" width="6" style="119" bestFit="1" customWidth="1"/>
    <col min="11779" max="11779" width="4.85546875" style="119" bestFit="1" customWidth="1"/>
    <col min="11780" max="11780" width="40.7109375" style="119" customWidth="1"/>
    <col min="11781" max="11781" width="8.7109375" style="119" bestFit="1" customWidth="1"/>
    <col min="11782" max="11784" width="7.42578125" style="119" customWidth="1"/>
    <col min="11785" max="11786" width="12.42578125" style="119" customWidth="1"/>
    <col min="11787" max="11788" width="13.5703125" style="119" customWidth="1"/>
    <col min="11789" max="11789" width="17.28515625" style="119" customWidth="1"/>
    <col min="11790" max="11790" width="8.85546875" style="119" customWidth="1"/>
    <col min="11791" max="11791" width="7.42578125" style="119" customWidth="1"/>
    <col min="11792" max="11828" width="11.42578125" style="119" customWidth="1"/>
    <col min="11829" max="12032" width="11.42578125" style="119"/>
    <col min="12033" max="12033" width="3.140625" style="119" customWidth="1"/>
    <col min="12034" max="12034" width="6" style="119" bestFit="1" customWidth="1"/>
    <col min="12035" max="12035" width="4.85546875" style="119" bestFit="1" customWidth="1"/>
    <col min="12036" max="12036" width="40.7109375" style="119" customWidth="1"/>
    <col min="12037" max="12037" width="8.7109375" style="119" bestFit="1" customWidth="1"/>
    <col min="12038" max="12040" width="7.42578125" style="119" customWidth="1"/>
    <col min="12041" max="12042" width="12.42578125" style="119" customWidth="1"/>
    <col min="12043" max="12044" width="13.5703125" style="119" customWidth="1"/>
    <col min="12045" max="12045" width="17.28515625" style="119" customWidth="1"/>
    <col min="12046" max="12046" width="8.85546875" style="119" customWidth="1"/>
    <col min="12047" max="12047" width="7.42578125" style="119" customWidth="1"/>
    <col min="12048" max="12084" width="11.42578125" style="119" customWidth="1"/>
    <col min="12085" max="12288" width="11.42578125" style="119"/>
    <col min="12289" max="12289" width="3.140625" style="119" customWidth="1"/>
    <col min="12290" max="12290" width="6" style="119" bestFit="1" customWidth="1"/>
    <col min="12291" max="12291" width="4.85546875" style="119" bestFit="1" customWidth="1"/>
    <col min="12292" max="12292" width="40.7109375" style="119" customWidth="1"/>
    <col min="12293" max="12293" width="8.7109375" style="119" bestFit="1" customWidth="1"/>
    <col min="12294" max="12296" width="7.42578125" style="119" customWidth="1"/>
    <col min="12297" max="12298" width="12.42578125" style="119" customWidth="1"/>
    <col min="12299" max="12300" width="13.5703125" style="119" customWidth="1"/>
    <col min="12301" max="12301" width="17.28515625" style="119" customWidth="1"/>
    <col min="12302" max="12302" width="8.85546875" style="119" customWidth="1"/>
    <col min="12303" max="12303" width="7.42578125" style="119" customWidth="1"/>
    <col min="12304" max="12340" width="11.42578125" style="119" customWidth="1"/>
    <col min="12341" max="12544" width="11.42578125" style="119"/>
    <col min="12545" max="12545" width="3.140625" style="119" customWidth="1"/>
    <col min="12546" max="12546" width="6" style="119" bestFit="1" customWidth="1"/>
    <col min="12547" max="12547" width="4.85546875" style="119" bestFit="1" customWidth="1"/>
    <col min="12548" max="12548" width="40.7109375" style="119" customWidth="1"/>
    <col min="12549" max="12549" width="8.7109375" style="119" bestFit="1" customWidth="1"/>
    <col min="12550" max="12552" width="7.42578125" style="119" customWidth="1"/>
    <col min="12553" max="12554" width="12.42578125" style="119" customWidth="1"/>
    <col min="12555" max="12556" width="13.5703125" style="119" customWidth="1"/>
    <col min="12557" max="12557" width="17.28515625" style="119" customWidth="1"/>
    <col min="12558" max="12558" width="8.85546875" style="119" customWidth="1"/>
    <col min="12559" max="12559" width="7.42578125" style="119" customWidth="1"/>
    <col min="12560" max="12596" width="11.42578125" style="119" customWidth="1"/>
    <col min="12597" max="12800" width="11.42578125" style="119"/>
    <col min="12801" max="12801" width="3.140625" style="119" customWidth="1"/>
    <col min="12802" max="12802" width="6" style="119" bestFit="1" customWidth="1"/>
    <col min="12803" max="12803" width="4.85546875" style="119" bestFit="1" customWidth="1"/>
    <col min="12804" max="12804" width="40.7109375" style="119" customWidth="1"/>
    <col min="12805" max="12805" width="8.7109375" style="119" bestFit="1" customWidth="1"/>
    <col min="12806" max="12808" width="7.42578125" style="119" customWidth="1"/>
    <col min="12809" max="12810" width="12.42578125" style="119" customWidth="1"/>
    <col min="12811" max="12812" width="13.5703125" style="119" customWidth="1"/>
    <col min="12813" max="12813" width="17.28515625" style="119" customWidth="1"/>
    <col min="12814" max="12814" width="8.85546875" style="119" customWidth="1"/>
    <col min="12815" max="12815" width="7.42578125" style="119" customWidth="1"/>
    <col min="12816" max="12852" width="11.42578125" style="119" customWidth="1"/>
    <col min="12853" max="13056" width="11.42578125" style="119"/>
    <col min="13057" max="13057" width="3.140625" style="119" customWidth="1"/>
    <col min="13058" max="13058" width="6" style="119" bestFit="1" customWidth="1"/>
    <col min="13059" max="13059" width="4.85546875" style="119" bestFit="1" customWidth="1"/>
    <col min="13060" max="13060" width="40.7109375" style="119" customWidth="1"/>
    <col min="13061" max="13061" width="8.7109375" style="119" bestFit="1" customWidth="1"/>
    <col min="13062" max="13064" width="7.42578125" style="119" customWidth="1"/>
    <col min="13065" max="13066" width="12.42578125" style="119" customWidth="1"/>
    <col min="13067" max="13068" width="13.5703125" style="119" customWidth="1"/>
    <col min="13069" max="13069" width="17.28515625" style="119" customWidth="1"/>
    <col min="13070" max="13070" width="8.85546875" style="119" customWidth="1"/>
    <col min="13071" max="13071" width="7.42578125" style="119" customWidth="1"/>
    <col min="13072" max="13108" width="11.42578125" style="119" customWidth="1"/>
    <col min="13109" max="13312" width="11.42578125" style="119"/>
    <col min="13313" max="13313" width="3.140625" style="119" customWidth="1"/>
    <col min="13314" max="13314" width="6" style="119" bestFit="1" customWidth="1"/>
    <col min="13315" max="13315" width="4.85546875" style="119" bestFit="1" customWidth="1"/>
    <col min="13316" max="13316" width="40.7109375" style="119" customWidth="1"/>
    <col min="13317" max="13317" width="8.7109375" style="119" bestFit="1" customWidth="1"/>
    <col min="13318" max="13320" width="7.42578125" style="119" customWidth="1"/>
    <col min="13321" max="13322" width="12.42578125" style="119" customWidth="1"/>
    <col min="13323" max="13324" width="13.5703125" style="119" customWidth="1"/>
    <col min="13325" max="13325" width="17.28515625" style="119" customWidth="1"/>
    <col min="13326" max="13326" width="8.85546875" style="119" customWidth="1"/>
    <col min="13327" max="13327" width="7.42578125" style="119" customWidth="1"/>
    <col min="13328" max="13364" width="11.42578125" style="119" customWidth="1"/>
    <col min="13365" max="13568" width="11.42578125" style="119"/>
    <col min="13569" max="13569" width="3.140625" style="119" customWidth="1"/>
    <col min="13570" max="13570" width="6" style="119" bestFit="1" customWidth="1"/>
    <col min="13571" max="13571" width="4.85546875" style="119" bestFit="1" customWidth="1"/>
    <col min="13572" max="13572" width="40.7109375" style="119" customWidth="1"/>
    <col min="13573" max="13573" width="8.7109375" style="119" bestFit="1" customWidth="1"/>
    <col min="13574" max="13576" width="7.42578125" style="119" customWidth="1"/>
    <col min="13577" max="13578" width="12.42578125" style="119" customWidth="1"/>
    <col min="13579" max="13580" width="13.5703125" style="119" customWidth="1"/>
    <col min="13581" max="13581" width="17.28515625" style="119" customWidth="1"/>
    <col min="13582" max="13582" width="8.85546875" style="119" customWidth="1"/>
    <col min="13583" max="13583" width="7.42578125" style="119" customWidth="1"/>
    <col min="13584" max="13620" width="11.42578125" style="119" customWidth="1"/>
    <col min="13621" max="13824" width="11.42578125" style="119"/>
    <col min="13825" max="13825" width="3.140625" style="119" customWidth="1"/>
    <col min="13826" max="13826" width="6" style="119" bestFit="1" customWidth="1"/>
    <col min="13827" max="13827" width="4.85546875" style="119" bestFit="1" customWidth="1"/>
    <col min="13828" max="13828" width="40.7109375" style="119" customWidth="1"/>
    <col min="13829" max="13829" width="8.7109375" style="119" bestFit="1" customWidth="1"/>
    <col min="13830" max="13832" width="7.42578125" style="119" customWidth="1"/>
    <col min="13833" max="13834" width="12.42578125" style="119" customWidth="1"/>
    <col min="13835" max="13836" width="13.5703125" style="119" customWidth="1"/>
    <col min="13837" max="13837" width="17.28515625" style="119" customWidth="1"/>
    <col min="13838" max="13838" width="8.85546875" style="119" customWidth="1"/>
    <col min="13839" max="13839" width="7.42578125" style="119" customWidth="1"/>
    <col min="13840" max="13876" width="11.42578125" style="119" customWidth="1"/>
    <col min="13877" max="14080" width="11.42578125" style="119"/>
    <col min="14081" max="14081" width="3.140625" style="119" customWidth="1"/>
    <col min="14082" max="14082" width="6" style="119" bestFit="1" customWidth="1"/>
    <col min="14083" max="14083" width="4.85546875" style="119" bestFit="1" customWidth="1"/>
    <col min="14084" max="14084" width="40.7109375" style="119" customWidth="1"/>
    <col min="14085" max="14085" width="8.7109375" style="119" bestFit="1" customWidth="1"/>
    <col min="14086" max="14088" width="7.42578125" style="119" customWidth="1"/>
    <col min="14089" max="14090" width="12.42578125" style="119" customWidth="1"/>
    <col min="14091" max="14092" width="13.5703125" style="119" customWidth="1"/>
    <col min="14093" max="14093" width="17.28515625" style="119" customWidth="1"/>
    <col min="14094" max="14094" width="8.85546875" style="119" customWidth="1"/>
    <col min="14095" max="14095" width="7.42578125" style="119" customWidth="1"/>
    <col min="14096" max="14132" width="11.42578125" style="119" customWidth="1"/>
    <col min="14133" max="14336" width="11.42578125" style="119"/>
    <col min="14337" max="14337" width="3.140625" style="119" customWidth="1"/>
    <col min="14338" max="14338" width="6" style="119" bestFit="1" customWidth="1"/>
    <col min="14339" max="14339" width="4.85546875" style="119" bestFit="1" customWidth="1"/>
    <col min="14340" max="14340" width="40.7109375" style="119" customWidth="1"/>
    <col min="14341" max="14341" width="8.7109375" style="119" bestFit="1" customWidth="1"/>
    <col min="14342" max="14344" width="7.42578125" style="119" customWidth="1"/>
    <col min="14345" max="14346" width="12.42578125" style="119" customWidth="1"/>
    <col min="14347" max="14348" width="13.5703125" style="119" customWidth="1"/>
    <col min="14349" max="14349" width="17.28515625" style="119" customWidth="1"/>
    <col min="14350" max="14350" width="8.85546875" style="119" customWidth="1"/>
    <col min="14351" max="14351" width="7.42578125" style="119" customWidth="1"/>
    <col min="14352" max="14388" width="11.42578125" style="119" customWidth="1"/>
    <col min="14389" max="14592" width="11.42578125" style="119"/>
    <col min="14593" max="14593" width="3.140625" style="119" customWidth="1"/>
    <col min="14594" max="14594" width="6" style="119" bestFit="1" customWidth="1"/>
    <col min="14595" max="14595" width="4.85546875" style="119" bestFit="1" customWidth="1"/>
    <col min="14596" max="14596" width="40.7109375" style="119" customWidth="1"/>
    <col min="14597" max="14597" width="8.7109375" style="119" bestFit="1" customWidth="1"/>
    <col min="14598" max="14600" width="7.42578125" style="119" customWidth="1"/>
    <col min="14601" max="14602" width="12.42578125" style="119" customWidth="1"/>
    <col min="14603" max="14604" width="13.5703125" style="119" customWidth="1"/>
    <col min="14605" max="14605" width="17.28515625" style="119" customWidth="1"/>
    <col min="14606" max="14606" width="8.85546875" style="119" customWidth="1"/>
    <col min="14607" max="14607" width="7.42578125" style="119" customWidth="1"/>
    <col min="14608" max="14644" width="11.42578125" style="119" customWidth="1"/>
    <col min="14645" max="14848" width="11.42578125" style="119"/>
    <col min="14849" max="14849" width="3.140625" style="119" customWidth="1"/>
    <col min="14850" max="14850" width="6" style="119" bestFit="1" customWidth="1"/>
    <col min="14851" max="14851" width="4.85546875" style="119" bestFit="1" customWidth="1"/>
    <col min="14852" max="14852" width="40.7109375" style="119" customWidth="1"/>
    <col min="14853" max="14853" width="8.7109375" style="119" bestFit="1" customWidth="1"/>
    <col min="14854" max="14856" width="7.42578125" style="119" customWidth="1"/>
    <col min="14857" max="14858" width="12.42578125" style="119" customWidth="1"/>
    <col min="14859" max="14860" width="13.5703125" style="119" customWidth="1"/>
    <col min="14861" max="14861" width="17.28515625" style="119" customWidth="1"/>
    <col min="14862" max="14862" width="8.85546875" style="119" customWidth="1"/>
    <col min="14863" max="14863" width="7.42578125" style="119" customWidth="1"/>
    <col min="14864" max="14900" width="11.42578125" style="119" customWidth="1"/>
    <col min="14901" max="15104" width="11.42578125" style="119"/>
    <col min="15105" max="15105" width="3.140625" style="119" customWidth="1"/>
    <col min="15106" max="15106" width="6" style="119" bestFit="1" customWidth="1"/>
    <col min="15107" max="15107" width="4.85546875" style="119" bestFit="1" customWidth="1"/>
    <col min="15108" max="15108" width="40.7109375" style="119" customWidth="1"/>
    <col min="15109" max="15109" width="8.7109375" style="119" bestFit="1" customWidth="1"/>
    <col min="15110" max="15112" width="7.42578125" style="119" customWidth="1"/>
    <col min="15113" max="15114" width="12.42578125" style="119" customWidth="1"/>
    <col min="15115" max="15116" width="13.5703125" style="119" customWidth="1"/>
    <col min="15117" max="15117" width="17.28515625" style="119" customWidth="1"/>
    <col min="15118" max="15118" width="8.85546875" style="119" customWidth="1"/>
    <col min="15119" max="15119" width="7.42578125" style="119" customWidth="1"/>
    <col min="15120" max="15156" width="11.42578125" style="119" customWidth="1"/>
    <col min="15157" max="15360" width="11.42578125" style="119"/>
    <col min="15361" max="15361" width="3.140625" style="119" customWidth="1"/>
    <col min="15362" max="15362" width="6" style="119" bestFit="1" customWidth="1"/>
    <col min="15363" max="15363" width="4.85546875" style="119" bestFit="1" customWidth="1"/>
    <col min="15364" max="15364" width="40.7109375" style="119" customWidth="1"/>
    <col min="15365" max="15365" width="8.7109375" style="119" bestFit="1" customWidth="1"/>
    <col min="15366" max="15368" width="7.42578125" style="119" customWidth="1"/>
    <col min="15369" max="15370" width="12.42578125" style="119" customWidth="1"/>
    <col min="15371" max="15372" width="13.5703125" style="119" customWidth="1"/>
    <col min="15373" max="15373" width="17.28515625" style="119" customWidth="1"/>
    <col min="15374" max="15374" width="8.85546875" style="119" customWidth="1"/>
    <col min="15375" max="15375" width="7.42578125" style="119" customWidth="1"/>
    <col min="15376" max="15412" width="11.42578125" style="119" customWidth="1"/>
    <col min="15413" max="15616" width="11.42578125" style="119"/>
    <col min="15617" max="15617" width="3.140625" style="119" customWidth="1"/>
    <col min="15618" max="15618" width="6" style="119" bestFit="1" customWidth="1"/>
    <col min="15619" max="15619" width="4.85546875" style="119" bestFit="1" customWidth="1"/>
    <col min="15620" max="15620" width="40.7109375" style="119" customWidth="1"/>
    <col min="15621" max="15621" width="8.7109375" style="119" bestFit="1" customWidth="1"/>
    <col min="15622" max="15624" width="7.42578125" style="119" customWidth="1"/>
    <col min="15625" max="15626" width="12.42578125" style="119" customWidth="1"/>
    <col min="15627" max="15628" width="13.5703125" style="119" customWidth="1"/>
    <col min="15629" max="15629" width="17.28515625" style="119" customWidth="1"/>
    <col min="15630" max="15630" width="8.85546875" style="119" customWidth="1"/>
    <col min="15631" max="15631" width="7.42578125" style="119" customWidth="1"/>
    <col min="15632" max="15668" width="11.42578125" style="119" customWidth="1"/>
    <col min="15669" max="15872" width="11.42578125" style="119"/>
    <col min="15873" max="15873" width="3.140625" style="119" customWidth="1"/>
    <col min="15874" max="15874" width="6" style="119" bestFit="1" customWidth="1"/>
    <col min="15875" max="15875" width="4.85546875" style="119" bestFit="1" customWidth="1"/>
    <col min="15876" max="15876" width="40.7109375" style="119" customWidth="1"/>
    <col min="15877" max="15877" width="8.7109375" style="119" bestFit="1" customWidth="1"/>
    <col min="15878" max="15880" width="7.42578125" style="119" customWidth="1"/>
    <col min="15881" max="15882" width="12.42578125" style="119" customWidth="1"/>
    <col min="15883" max="15884" width="13.5703125" style="119" customWidth="1"/>
    <col min="15885" max="15885" width="17.28515625" style="119" customWidth="1"/>
    <col min="15886" max="15886" width="8.85546875" style="119" customWidth="1"/>
    <col min="15887" max="15887" width="7.42578125" style="119" customWidth="1"/>
    <col min="15888" max="15924" width="11.42578125" style="119" customWidth="1"/>
    <col min="15925" max="16128" width="11.42578125" style="119"/>
    <col min="16129" max="16129" width="3.140625" style="119" customWidth="1"/>
    <col min="16130" max="16130" width="6" style="119" bestFit="1" customWidth="1"/>
    <col min="16131" max="16131" width="4.85546875" style="119" bestFit="1" customWidth="1"/>
    <col min="16132" max="16132" width="40.7109375" style="119" customWidth="1"/>
    <col min="16133" max="16133" width="8.7109375" style="119" bestFit="1" customWidth="1"/>
    <col min="16134" max="16136" width="7.42578125" style="119" customWidth="1"/>
    <col min="16137" max="16138" width="12.42578125" style="119" customWidth="1"/>
    <col min="16139" max="16140" width="13.5703125" style="119" customWidth="1"/>
    <col min="16141" max="16141" width="17.28515625" style="119" customWidth="1"/>
    <col min="16142" max="16142" width="8.85546875" style="119" customWidth="1"/>
    <col min="16143" max="16143" width="7.42578125" style="119" customWidth="1"/>
    <col min="16144" max="16180" width="11.42578125" style="119" customWidth="1"/>
    <col min="16181" max="16384" width="11.42578125" style="119"/>
  </cols>
  <sheetData>
    <row r="1" spans="1:15" ht="13.5" customHeight="1" x14ac:dyDescent="0.25">
      <c r="D1" s="157"/>
    </row>
    <row r="2" spans="1:15" ht="42.75" customHeight="1" x14ac:dyDescent="0.25">
      <c r="B2" s="174" t="s">
        <v>1</v>
      </c>
      <c r="C2" s="174" t="s">
        <v>0</v>
      </c>
      <c r="D2" s="174" t="s">
        <v>194</v>
      </c>
      <c r="E2" s="175" t="s">
        <v>3</v>
      </c>
      <c r="F2" s="175" t="s">
        <v>55</v>
      </c>
      <c r="G2" s="175" t="s">
        <v>201</v>
      </c>
      <c r="H2" s="175" t="s">
        <v>134</v>
      </c>
      <c r="I2" s="176" t="s">
        <v>6</v>
      </c>
      <c r="J2" s="176" t="s">
        <v>135</v>
      </c>
      <c r="K2" s="176" t="s">
        <v>7</v>
      </c>
      <c r="L2" s="176" t="s">
        <v>8</v>
      </c>
      <c r="M2" s="176" t="s">
        <v>9</v>
      </c>
      <c r="N2" s="174" t="s">
        <v>17</v>
      </c>
      <c r="O2" s="175" t="s">
        <v>66</v>
      </c>
    </row>
    <row r="3" spans="1:15" ht="12.95" customHeight="1" x14ac:dyDescent="0.25">
      <c r="A3" s="129"/>
      <c r="B3" s="158" t="s">
        <v>195</v>
      </c>
      <c r="C3" s="159"/>
      <c r="E3" s="160">
        <v>553.96</v>
      </c>
      <c r="F3" s="160">
        <v>13.6</v>
      </c>
      <c r="G3" s="160">
        <v>553.96</v>
      </c>
      <c r="H3" s="160">
        <v>13.61</v>
      </c>
      <c r="I3" s="161"/>
      <c r="J3" s="161"/>
      <c r="K3" s="160">
        <v>49.39</v>
      </c>
      <c r="L3" s="160">
        <v>164.42</v>
      </c>
      <c r="M3" s="160">
        <v>11.62</v>
      </c>
      <c r="N3" s="160">
        <v>-19.61</v>
      </c>
      <c r="O3" s="160">
        <v>-44.79</v>
      </c>
    </row>
    <row r="4" spans="1:15" ht="12.95" customHeight="1" x14ac:dyDescent="0.25">
      <c r="B4" s="162" t="s">
        <v>196</v>
      </c>
      <c r="C4" s="163"/>
      <c r="D4" s="164"/>
      <c r="E4" s="160">
        <v>605.25</v>
      </c>
      <c r="F4" s="160">
        <v>18.079999999999998</v>
      </c>
      <c r="G4" s="160">
        <v>599.73</v>
      </c>
      <c r="H4" s="160">
        <v>17.91</v>
      </c>
      <c r="I4" s="161"/>
      <c r="J4" s="161"/>
      <c r="K4" s="160">
        <v>62.53</v>
      </c>
      <c r="L4" s="160">
        <v>208.25</v>
      </c>
      <c r="M4" s="160">
        <v>14.68</v>
      </c>
      <c r="N4" s="160">
        <v>-23</v>
      </c>
      <c r="O4" s="160">
        <v>-52.54</v>
      </c>
    </row>
    <row r="5" spans="1:15" ht="12.95" customHeight="1" x14ac:dyDescent="0.25">
      <c r="B5" s="162" t="s">
        <v>197</v>
      </c>
      <c r="C5" s="163"/>
      <c r="D5" s="125"/>
      <c r="E5" s="160">
        <v>727.23</v>
      </c>
      <c r="F5" s="160">
        <v>26.57</v>
      </c>
      <c r="G5" s="160">
        <v>628.53</v>
      </c>
      <c r="H5" s="160">
        <v>22.96</v>
      </c>
      <c r="I5" s="165"/>
      <c r="J5" s="161"/>
      <c r="K5" s="160">
        <v>95.42</v>
      </c>
      <c r="L5" s="160">
        <v>317.82</v>
      </c>
      <c r="M5" s="160">
        <v>22.36</v>
      </c>
      <c r="N5" s="160">
        <v>-29.07</v>
      </c>
      <c r="O5" s="160">
        <v>-66.41</v>
      </c>
    </row>
    <row r="6" spans="1:15" ht="12.95" customHeight="1" x14ac:dyDescent="0.25">
      <c r="B6" s="162" t="s">
        <v>198</v>
      </c>
      <c r="C6" s="163"/>
      <c r="E6" s="160">
        <v>846.66</v>
      </c>
      <c r="F6" s="160">
        <v>30.83</v>
      </c>
      <c r="G6" s="160"/>
      <c r="H6" s="160"/>
      <c r="I6" s="161"/>
      <c r="J6" s="161"/>
      <c r="L6" s="160"/>
      <c r="M6" s="160"/>
      <c r="N6" s="160">
        <v>-33.15</v>
      </c>
      <c r="O6" s="160">
        <v>-75.709999999999994</v>
      </c>
    </row>
    <row r="7" spans="1:15" ht="12.95" customHeight="1" x14ac:dyDescent="0.25">
      <c r="B7" s="162" t="s">
        <v>132</v>
      </c>
      <c r="C7" s="162">
        <v>21</v>
      </c>
      <c r="D7" s="143" t="s">
        <v>119</v>
      </c>
      <c r="E7" s="160">
        <v>968.57</v>
      </c>
      <c r="F7" s="160">
        <v>35.119999999999997</v>
      </c>
      <c r="G7" s="160">
        <v>706.38</v>
      </c>
      <c r="H7" s="160">
        <v>25.61</v>
      </c>
      <c r="I7" s="161">
        <v>660.83</v>
      </c>
      <c r="J7" s="160">
        <v>484.68</v>
      </c>
      <c r="K7" s="160">
        <v>118.43</v>
      </c>
      <c r="L7" s="160">
        <v>394.52</v>
      </c>
      <c r="M7" s="160">
        <v>27.68</v>
      </c>
      <c r="N7" s="160">
        <v>-37.86</v>
      </c>
      <c r="O7" s="160">
        <v>-86.46</v>
      </c>
    </row>
    <row r="8" spans="1:15" ht="12.95" customHeight="1" x14ac:dyDescent="0.25">
      <c r="B8" s="162" t="s">
        <v>132</v>
      </c>
      <c r="C8" s="162">
        <v>24</v>
      </c>
      <c r="D8" s="143" t="s">
        <v>115</v>
      </c>
      <c r="E8" s="160">
        <v>968.57</v>
      </c>
      <c r="F8" s="160">
        <v>35.119999999999997</v>
      </c>
      <c r="G8" s="160">
        <v>706.38</v>
      </c>
      <c r="H8" s="160">
        <v>25.61</v>
      </c>
      <c r="I8" s="161">
        <v>622.53</v>
      </c>
      <c r="J8" s="160">
        <v>596.88</v>
      </c>
      <c r="K8" s="160">
        <v>118.43</v>
      </c>
      <c r="L8" s="160">
        <v>394.52</v>
      </c>
      <c r="M8" s="160">
        <v>27.68</v>
      </c>
      <c r="N8" s="160">
        <v>-37.86</v>
      </c>
      <c r="O8" s="160">
        <v>-86.46</v>
      </c>
    </row>
    <row r="9" spans="1:15" ht="12.95" customHeight="1" x14ac:dyDescent="0.25">
      <c r="B9" s="162" t="s">
        <v>132</v>
      </c>
      <c r="C9" s="162">
        <v>24</v>
      </c>
      <c r="D9" s="143" t="s">
        <v>118</v>
      </c>
      <c r="E9" s="160">
        <v>968.57</v>
      </c>
      <c r="F9" s="160">
        <v>35.119999999999997</v>
      </c>
      <c r="G9" s="160">
        <v>706.38</v>
      </c>
      <c r="H9" s="160">
        <v>25.61</v>
      </c>
      <c r="I9" s="161">
        <v>622.53</v>
      </c>
      <c r="J9" s="160">
        <v>596.88</v>
      </c>
      <c r="K9" s="160">
        <v>118.43</v>
      </c>
      <c r="L9" s="160">
        <v>394.52</v>
      </c>
      <c r="M9" s="160">
        <v>27.68</v>
      </c>
      <c r="N9" s="160">
        <v>-37.86</v>
      </c>
      <c r="O9" s="160">
        <v>-86.46</v>
      </c>
    </row>
    <row r="10" spans="1:15" ht="12.95" customHeight="1" x14ac:dyDescent="0.25">
      <c r="B10" s="162" t="s">
        <v>81</v>
      </c>
      <c r="C10" s="162">
        <v>24</v>
      </c>
      <c r="D10" s="143" t="s">
        <v>136</v>
      </c>
      <c r="E10" s="160">
        <v>1120.1500000000001</v>
      </c>
      <c r="F10" s="160">
        <v>43.08</v>
      </c>
      <c r="G10" s="160">
        <v>691.21</v>
      </c>
      <c r="H10" s="160">
        <v>26.58</v>
      </c>
      <c r="I10" s="161">
        <v>620.66</v>
      </c>
      <c r="J10" s="160">
        <v>596.88</v>
      </c>
      <c r="K10" s="160">
        <v>131.57</v>
      </c>
      <c r="L10" s="160">
        <v>438.35</v>
      </c>
      <c r="M10" s="160">
        <v>30.81</v>
      </c>
      <c r="N10" s="160">
        <v>-48.1</v>
      </c>
      <c r="O10" s="160">
        <v>-109.86</v>
      </c>
    </row>
    <row r="11" spans="1:15" ht="12.95" customHeight="1" x14ac:dyDescent="0.25">
      <c r="B11" s="162" t="s">
        <v>81</v>
      </c>
      <c r="C11" s="162">
        <v>24</v>
      </c>
      <c r="D11" s="143" t="s">
        <v>116</v>
      </c>
      <c r="E11" s="160">
        <v>1120.1500000000001</v>
      </c>
      <c r="F11" s="160">
        <v>43.08</v>
      </c>
      <c r="G11" s="160">
        <v>691.21</v>
      </c>
      <c r="H11" s="160">
        <v>26.58</v>
      </c>
      <c r="I11" s="161">
        <v>620.66</v>
      </c>
      <c r="J11" s="160">
        <v>596.88</v>
      </c>
      <c r="K11" s="160">
        <v>131.57</v>
      </c>
      <c r="L11" s="160">
        <v>438.35</v>
      </c>
      <c r="M11" s="160">
        <v>30.81</v>
      </c>
      <c r="N11" s="160">
        <v>-48.1</v>
      </c>
      <c r="O11" s="160">
        <v>-109.86</v>
      </c>
    </row>
    <row r="12" spans="1:15" ht="12.95" customHeight="1" x14ac:dyDescent="0.25">
      <c r="B12" s="162" t="s">
        <v>81</v>
      </c>
      <c r="C12" s="162">
        <v>24</v>
      </c>
      <c r="D12" s="143" t="s">
        <v>137</v>
      </c>
      <c r="E12" s="160">
        <v>1120.1500000000001</v>
      </c>
      <c r="F12" s="160">
        <v>43.08</v>
      </c>
      <c r="G12" s="160">
        <v>691.21</v>
      </c>
      <c r="H12" s="160">
        <v>26.58</v>
      </c>
      <c r="I12" s="161">
        <v>620.66</v>
      </c>
      <c r="J12" s="160">
        <v>596.88</v>
      </c>
      <c r="K12" s="160">
        <v>131.57</v>
      </c>
      <c r="L12" s="160">
        <v>438.35</v>
      </c>
      <c r="M12" s="160">
        <v>30.81</v>
      </c>
      <c r="N12" s="160">
        <v>-48.1</v>
      </c>
      <c r="O12" s="160">
        <v>-109.86</v>
      </c>
    </row>
    <row r="13" spans="1:15" ht="12.95" customHeight="1" x14ac:dyDescent="0.25">
      <c r="B13" s="162" t="s">
        <v>81</v>
      </c>
      <c r="C13" s="162">
        <v>24</v>
      </c>
      <c r="D13" s="143" t="s">
        <v>117</v>
      </c>
      <c r="E13" s="160">
        <v>1120.1500000000001</v>
      </c>
      <c r="F13" s="160">
        <v>43.08</v>
      </c>
      <c r="G13" s="160">
        <v>691.21</v>
      </c>
      <c r="H13" s="160">
        <v>26.58</v>
      </c>
      <c r="I13" s="161">
        <v>620.66</v>
      </c>
      <c r="J13" s="160">
        <v>596.88</v>
      </c>
      <c r="K13" s="160">
        <v>131.57</v>
      </c>
      <c r="L13" s="160">
        <v>438.35</v>
      </c>
      <c r="M13" s="160">
        <v>30.81</v>
      </c>
      <c r="N13" s="160">
        <v>-48.1</v>
      </c>
      <c r="O13" s="160">
        <v>-109.86</v>
      </c>
    </row>
    <row r="14" spans="1:15" ht="12.95" customHeight="1" x14ac:dyDescent="0.25">
      <c r="B14" s="162" t="s">
        <v>81</v>
      </c>
      <c r="C14" s="162">
        <v>26</v>
      </c>
      <c r="D14" s="137" t="s">
        <v>114</v>
      </c>
      <c r="E14" s="160">
        <v>1120.1500000000001</v>
      </c>
      <c r="F14" s="160">
        <v>43.08</v>
      </c>
      <c r="G14" s="160">
        <v>691.21</v>
      </c>
      <c r="H14" s="160">
        <v>26.58</v>
      </c>
      <c r="I14" s="161">
        <v>669.44</v>
      </c>
      <c r="J14" s="160">
        <v>714.91</v>
      </c>
      <c r="K14" s="160">
        <v>148.02000000000001</v>
      </c>
      <c r="L14" s="160">
        <v>493.15</v>
      </c>
      <c r="M14" s="160">
        <v>34.590000000000003</v>
      </c>
      <c r="N14" s="160">
        <v>-48.1</v>
      </c>
      <c r="O14" s="160">
        <v>-109.86</v>
      </c>
    </row>
    <row r="15" spans="1:15" x14ac:dyDescent="0.25">
      <c r="B15" s="162" t="s">
        <v>81</v>
      </c>
      <c r="C15" s="162">
        <v>26</v>
      </c>
      <c r="D15" s="143" t="s">
        <v>138</v>
      </c>
      <c r="E15" s="160">
        <v>1120.1500000000001</v>
      </c>
      <c r="F15" s="160">
        <v>43.08</v>
      </c>
      <c r="G15" s="160">
        <v>691.21</v>
      </c>
      <c r="H15" s="160">
        <v>26.58</v>
      </c>
      <c r="I15" s="161">
        <v>1394.77</v>
      </c>
      <c r="J15" s="160">
        <v>714.91</v>
      </c>
      <c r="K15" s="160">
        <v>164.41</v>
      </c>
      <c r="L15" s="160">
        <v>547.94000000000005</v>
      </c>
      <c r="M15" s="160">
        <v>38.44</v>
      </c>
      <c r="N15" s="160">
        <v>-48.1</v>
      </c>
      <c r="O15" s="160">
        <v>-109.86</v>
      </c>
    </row>
    <row r="16" spans="1:15" x14ac:dyDescent="0.25">
      <c r="B16" s="125"/>
      <c r="C16" s="125"/>
      <c r="G16" s="125"/>
      <c r="H16" s="125"/>
      <c r="I16" s="166" t="s">
        <v>199</v>
      </c>
    </row>
    <row r="18" spans="5:13" x14ac:dyDescent="0.25">
      <c r="E18" s="177"/>
    </row>
    <row r="20" spans="5:13" x14ac:dyDescent="0.25">
      <c r="E20" s="127"/>
      <c r="F20" s="127"/>
      <c r="G20" s="167"/>
      <c r="H20" s="167"/>
      <c r="I20"/>
      <c r="J20"/>
    </row>
    <row r="21" spans="5:13" x14ac:dyDescent="0.25">
      <c r="E21" s="127"/>
      <c r="F21" s="127"/>
      <c r="G21" s="167"/>
      <c r="H21" s="167"/>
      <c r="I21"/>
      <c r="J21"/>
      <c r="K21" s="127"/>
      <c r="L21" s="127"/>
      <c r="M21" s="127"/>
    </row>
    <row r="22" spans="5:13" x14ac:dyDescent="0.25">
      <c r="E22" s="127"/>
      <c r="F22" s="127"/>
      <c r="G22" s="167"/>
      <c r="H22" s="167"/>
      <c r="I22"/>
      <c r="J22"/>
      <c r="K22" s="127"/>
      <c r="L22" s="127"/>
      <c r="M22" s="127"/>
    </row>
    <row r="23" spans="5:13" x14ac:dyDescent="0.25">
      <c r="E23" s="127"/>
      <c r="F23" s="127"/>
      <c r="G23" s="167"/>
      <c r="H23" s="167"/>
      <c r="I23"/>
      <c r="J23"/>
      <c r="K23" s="127"/>
      <c r="L23" s="127"/>
      <c r="M23" s="127"/>
    </row>
    <row r="24" spans="5:13" x14ac:dyDescent="0.25">
      <c r="E24" s="127"/>
      <c r="F24" s="127"/>
      <c r="G24" s="167"/>
      <c r="H24" s="167"/>
      <c r="I24"/>
      <c r="J24"/>
      <c r="K24" s="127"/>
      <c r="L24" s="127"/>
      <c r="M24" s="127"/>
    </row>
    <row r="25" spans="5:13" x14ac:dyDescent="0.25">
      <c r="E25" s="127"/>
      <c r="F25" s="127"/>
      <c r="G25" s="167"/>
      <c r="H25" s="167"/>
      <c r="I25"/>
      <c r="J25"/>
      <c r="K25" s="127"/>
      <c r="L25" s="127"/>
      <c r="M25" s="127"/>
    </row>
    <row r="26" spans="5:13" x14ac:dyDescent="0.25">
      <c r="E26" s="168"/>
      <c r="I26"/>
      <c r="J26"/>
      <c r="K26" s="127"/>
      <c r="L26" s="127"/>
      <c r="M26" s="127"/>
    </row>
    <row r="27" spans="5:13" x14ac:dyDescent="0.25">
      <c r="E27" s="127"/>
      <c r="I27"/>
      <c r="J27"/>
      <c r="K27" s="127"/>
      <c r="L27" s="127"/>
      <c r="M27" s="127"/>
    </row>
    <row r="28" spans="5:13" x14ac:dyDescent="0.25">
      <c r="I28"/>
      <c r="J28"/>
      <c r="K28" s="127"/>
      <c r="L28" s="127"/>
      <c r="M28" s="127"/>
    </row>
    <row r="29" spans="5:13" x14ac:dyDescent="0.25">
      <c r="I29"/>
      <c r="J29"/>
      <c r="K29" s="127"/>
      <c r="L29" s="127"/>
      <c r="M29" s="127"/>
    </row>
    <row r="30" spans="5:13" x14ac:dyDescent="0.25">
      <c r="I30"/>
      <c r="J30"/>
      <c r="K30" s="127"/>
      <c r="L30" s="127"/>
      <c r="M30" s="127"/>
    </row>
    <row r="31" spans="5:13" x14ac:dyDescent="0.25">
      <c r="I31"/>
      <c r="J31"/>
      <c r="K31" s="127"/>
      <c r="L31" s="127"/>
      <c r="M31" s="127"/>
    </row>
    <row r="32" spans="5:13" x14ac:dyDescent="0.25">
      <c r="I32"/>
      <c r="J32"/>
      <c r="K32" s="127"/>
      <c r="L32" s="127"/>
      <c r="M32" s="127"/>
    </row>
    <row r="33" spans="5:13" x14ac:dyDescent="0.25">
      <c r="E33" s="169"/>
      <c r="I33"/>
      <c r="J33"/>
      <c r="K33" s="127"/>
      <c r="L33" s="127"/>
      <c r="M33" s="127"/>
    </row>
    <row r="34" spans="5:13" x14ac:dyDescent="0.25">
      <c r="E34" s="169"/>
      <c r="I34"/>
      <c r="J34"/>
      <c r="K34" s="127"/>
      <c r="L34" s="127"/>
      <c r="M34" s="127"/>
    </row>
    <row r="35" spans="5:13" x14ac:dyDescent="0.25">
      <c r="E35" s="169"/>
      <c r="I35"/>
      <c r="J35"/>
      <c r="K35" s="127"/>
      <c r="L35" s="127"/>
      <c r="M35" s="127"/>
    </row>
    <row r="36" spans="5:13" x14ac:dyDescent="0.25">
      <c r="E36" s="169"/>
      <c r="I36"/>
      <c r="J36"/>
      <c r="K36" s="127"/>
    </row>
    <row r="37" spans="5:13" x14ac:dyDescent="0.25">
      <c r="I37"/>
      <c r="J37"/>
      <c r="K37" s="127"/>
    </row>
    <row r="38" spans="5:13" x14ac:dyDescent="0.25">
      <c r="I38"/>
      <c r="J38"/>
      <c r="K38" s="127"/>
    </row>
    <row r="39" spans="5:13" x14ac:dyDescent="0.25">
      <c r="I39"/>
      <c r="J39"/>
      <c r="K39" s="127"/>
    </row>
    <row r="40" spans="5:13" x14ac:dyDescent="0.25">
      <c r="I40"/>
      <c r="J40"/>
      <c r="K40" s="127"/>
    </row>
    <row r="41" spans="5:13" x14ac:dyDescent="0.25">
      <c r="I41"/>
      <c r="J41"/>
      <c r="K41" s="127"/>
    </row>
    <row r="42" spans="5:13" x14ac:dyDescent="0.25">
      <c r="I42"/>
      <c r="J42"/>
      <c r="K42" s="127"/>
    </row>
    <row r="43" spans="5:13" x14ac:dyDescent="0.25">
      <c r="I43"/>
      <c r="J43"/>
      <c r="K43" s="127"/>
    </row>
    <row r="44" spans="5:13" x14ac:dyDescent="0.25">
      <c r="I44"/>
      <c r="J44"/>
      <c r="K44" s="127"/>
    </row>
    <row r="45" spans="5:13" x14ac:dyDescent="0.25">
      <c r="I45"/>
      <c r="J45"/>
      <c r="K45" s="127"/>
    </row>
    <row r="46" spans="5:13" x14ac:dyDescent="0.25">
      <c r="I46"/>
      <c r="J46"/>
      <c r="K46" s="127"/>
    </row>
    <row r="47" spans="5:13" x14ac:dyDescent="0.25">
      <c r="I47"/>
      <c r="J47"/>
      <c r="K47" s="127"/>
    </row>
    <row r="48" spans="5:13" x14ac:dyDescent="0.25">
      <c r="I48"/>
      <c r="J48"/>
      <c r="K48" s="127"/>
    </row>
    <row r="49" spans="9:11" x14ac:dyDescent="0.25">
      <c r="I49"/>
      <c r="J49"/>
      <c r="K49" s="127"/>
    </row>
    <row r="50" spans="9:11" x14ac:dyDescent="0.25">
      <c r="I50"/>
      <c r="J50"/>
      <c r="K50" s="127"/>
    </row>
    <row r="51" spans="9:11" x14ac:dyDescent="0.25">
      <c r="I51"/>
      <c r="J51"/>
      <c r="K51" s="127"/>
    </row>
    <row r="52" spans="9:11" x14ac:dyDescent="0.25">
      <c r="I52"/>
      <c r="J52"/>
      <c r="K52" s="127"/>
    </row>
    <row r="53" spans="9:11" x14ac:dyDescent="0.25">
      <c r="I53"/>
      <c r="J53"/>
      <c r="K53" s="127"/>
    </row>
    <row r="54" spans="9:11" x14ac:dyDescent="0.25">
      <c r="I54"/>
      <c r="J54"/>
      <c r="K54" s="127"/>
    </row>
  </sheetData>
  <sheetProtection algorithmName="SHA-512" hashValue="lMeuLc03u5+H207bNmI6LNQx2gQbj1awz3ltShkNEBmTTufDRZj/L1JJnQNDhrY8zarY8fFHwUdUzmvqCD7IMg==" saltValue="kG1PC9sbJY5PR2IN45aqEA==" spinCount="100000" sheet="1" objects="1" scenarios="1" selectLockedCells="1" selectUnlockedCell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H56"/>
  <sheetViews>
    <sheetView tabSelected="1" workbookViewId="0">
      <selection sqref="A1:XFD1048576"/>
    </sheetView>
  </sheetViews>
  <sheetFormatPr baseColWidth="10" defaultRowHeight="15" x14ac:dyDescent="0.25"/>
  <cols>
    <col min="1" max="2" width="11.42578125" style="119"/>
    <col min="3" max="3" width="14.42578125" style="119" customWidth="1"/>
    <col min="4" max="4" width="16.5703125" style="119" customWidth="1"/>
    <col min="5" max="5" width="11.85546875" style="119" customWidth="1"/>
    <col min="6" max="6" width="33.7109375" style="119" customWidth="1"/>
    <col min="7" max="16384" width="11.42578125" style="119"/>
  </cols>
  <sheetData>
    <row r="2" spans="3:8" ht="15.75" thickBot="1" x14ac:dyDescent="0.3"/>
    <row r="3" spans="3:8" x14ac:dyDescent="0.25">
      <c r="C3" s="273" t="s">
        <v>236</v>
      </c>
      <c r="D3" s="274"/>
      <c r="E3" s="274"/>
      <c r="F3" s="274"/>
      <c r="G3" s="275"/>
    </row>
    <row r="4" spans="3:8" ht="60" x14ac:dyDescent="0.25">
      <c r="C4" s="212" t="s">
        <v>232</v>
      </c>
      <c r="D4" s="213" t="s">
        <v>231</v>
      </c>
      <c r="E4" s="213" t="s">
        <v>233</v>
      </c>
      <c r="F4" s="213" t="s">
        <v>234</v>
      </c>
      <c r="G4" s="214" t="s">
        <v>235</v>
      </c>
      <c r="H4" s="121"/>
    </row>
    <row r="5" spans="3:8" x14ac:dyDescent="0.25">
      <c r="C5" s="215">
        <v>25</v>
      </c>
      <c r="D5" s="216">
        <v>3</v>
      </c>
      <c r="E5" s="216">
        <v>2</v>
      </c>
      <c r="F5" s="216">
        <v>7.5</v>
      </c>
      <c r="G5" s="217">
        <f>SUM(C5:F5)</f>
        <v>37.5</v>
      </c>
    </row>
    <row r="6" spans="3:8" x14ac:dyDescent="0.25">
      <c r="C6" s="218"/>
      <c r="D6" s="216"/>
      <c r="E6" s="216"/>
      <c r="F6" s="216"/>
      <c r="G6" s="217"/>
    </row>
    <row r="7" spans="3:8" x14ac:dyDescent="0.25">
      <c r="C7" s="215">
        <v>23</v>
      </c>
      <c r="D7" s="216">
        <v>2.5</v>
      </c>
      <c r="E7" s="216">
        <v>1.5</v>
      </c>
      <c r="F7" s="216">
        <v>6.5</v>
      </c>
      <c r="G7" s="217">
        <v>33.5</v>
      </c>
    </row>
    <row r="8" spans="3:8" x14ac:dyDescent="0.25">
      <c r="C8" s="215">
        <v>22</v>
      </c>
      <c r="D8" s="216">
        <v>2.5</v>
      </c>
      <c r="E8" s="216">
        <v>1.5</v>
      </c>
      <c r="F8" s="216">
        <v>6.5</v>
      </c>
      <c r="G8" s="217">
        <f t="shared" ref="G8:G27" si="0">SUM(C8:F8)</f>
        <v>32.5</v>
      </c>
    </row>
    <row r="9" spans="3:8" x14ac:dyDescent="0.25">
      <c r="C9" s="215">
        <f t="shared" ref="C9:C25" si="1">+C8-1</f>
        <v>21</v>
      </c>
      <c r="D9" s="216">
        <v>2.5</v>
      </c>
      <c r="E9" s="216">
        <v>1.5</v>
      </c>
      <c r="F9" s="216">
        <v>6.5</v>
      </c>
      <c r="G9" s="217">
        <f t="shared" si="0"/>
        <v>31.5</v>
      </c>
    </row>
    <row r="10" spans="3:8" x14ac:dyDescent="0.25">
      <c r="C10" s="215">
        <f t="shared" si="1"/>
        <v>20</v>
      </c>
      <c r="D10" s="216">
        <v>2</v>
      </c>
      <c r="E10" s="216">
        <v>1.5</v>
      </c>
      <c r="F10" s="216">
        <f t="shared" ref="F10:G30" si="2">+(F$5/$C$5)*$C10</f>
        <v>6</v>
      </c>
      <c r="G10" s="217">
        <f t="shared" si="0"/>
        <v>29.5</v>
      </c>
    </row>
    <row r="11" spans="3:8" x14ac:dyDescent="0.25">
      <c r="C11" s="215">
        <f t="shared" si="1"/>
        <v>19</v>
      </c>
      <c r="D11" s="216">
        <v>2</v>
      </c>
      <c r="E11" s="216">
        <v>1.5</v>
      </c>
      <c r="F11" s="216">
        <v>5.5</v>
      </c>
      <c r="G11" s="217">
        <f t="shared" si="0"/>
        <v>28</v>
      </c>
    </row>
    <row r="12" spans="3:8" x14ac:dyDescent="0.25">
      <c r="C12" s="215">
        <f t="shared" si="1"/>
        <v>18</v>
      </c>
      <c r="D12" s="216">
        <v>2</v>
      </c>
      <c r="E12" s="216">
        <v>1</v>
      </c>
      <c r="F12" s="216">
        <v>5</v>
      </c>
      <c r="G12" s="217">
        <f t="shared" si="0"/>
        <v>26</v>
      </c>
    </row>
    <row r="13" spans="3:8" x14ac:dyDescent="0.25">
      <c r="C13" s="215">
        <f t="shared" si="1"/>
        <v>17</v>
      </c>
      <c r="D13" s="216">
        <v>2</v>
      </c>
      <c r="E13" s="216">
        <v>1</v>
      </c>
      <c r="F13" s="216">
        <v>5</v>
      </c>
      <c r="G13" s="217">
        <f t="shared" si="0"/>
        <v>25</v>
      </c>
    </row>
    <row r="14" spans="3:8" x14ac:dyDescent="0.25">
      <c r="C14" s="215">
        <f t="shared" si="1"/>
        <v>16</v>
      </c>
      <c r="D14" s="216">
        <v>1.5</v>
      </c>
      <c r="E14" s="216">
        <v>1</v>
      </c>
      <c r="F14" s="216">
        <v>4.5</v>
      </c>
      <c r="G14" s="217">
        <f t="shared" si="0"/>
        <v>23</v>
      </c>
    </row>
    <row r="15" spans="3:8" x14ac:dyDescent="0.25">
      <c r="C15" s="215">
        <f t="shared" si="1"/>
        <v>15</v>
      </c>
      <c r="D15" s="216">
        <v>1.5</v>
      </c>
      <c r="E15" s="216">
        <v>1</v>
      </c>
      <c r="F15" s="216">
        <f t="shared" si="2"/>
        <v>4.5</v>
      </c>
      <c r="G15" s="217">
        <f t="shared" si="0"/>
        <v>22</v>
      </c>
    </row>
    <row r="16" spans="3:8" x14ac:dyDescent="0.25">
      <c r="C16" s="215">
        <f t="shared" si="1"/>
        <v>14</v>
      </c>
      <c r="D16" s="216">
        <v>1.5</v>
      </c>
      <c r="E16" s="216">
        <v>1</v>
      </c>
      <c r="F16" s="216">
        <v>4</v>
      </c>
      <c r="G16" s="217">
        <f t="shared" si="0"/>
        <v>20.5</v>
      </c>
    </row>
    <row r="17" spans="3:7" x14ac:dyDescent="0.25">
      <c r="C17" s="215">
        <f t="shared" si="1"/>
        <v>13</v>
      </c>
      <c r="D17" s="216">
        <v>1.5</v>
      </c>
      <c r="E17" s="216">
        <v>1</v>
      </c>
      <c r="F17" s="216">
        <v>3.5</v>
      </c>
      <c r="G17" s="217">
        <f t="shared" si="0"/>
        <v>19</v>
      </c>
    </row>
    <row r="18" spans="3:7" x14ac:dyDescent="0.25">
      <c r="C18" s="215">
        <f t="shared" si="1"/>
        <v>12</v>
      </c>
      <c r="D18" s="216">
        <v>1</v>
      </c>
      <c r="E18" s="216">
        <v>1</v>
      </c>
      <c r="F18" s="216">
        <v>3.5</v>
      </c>
      <c r="G18" s="217">
        <f t="shared" si="0"/>
        <v>17.5</v>
      </c>
    </row>
    <row r="19" spans="3:7" x14ac:dyDescent="0.25">
      <c r="C19" s="215">
        <f t="shared" si="1"/>
        <v>11</v>
      </c>
      <c r="D19" s="216">
        <v>1</v>
      </c>
      <c r="E19" s="216">
        <v>0.5</v>
      </c>
      <c r="F19" s="216">
        <v>3</v>
      </c>
      <c r="G19" s="217">
        <f t="shared" si="0"/>
        <v>15.5</v>
      </c>
    </row>
    <row r="20" spans="3:7" x14ac:dyDescent="0.25">
      <c r="C20" s="215">
        <f t="shared" si="1"/>
        <v>10</v>
      </c>
      <c r="D20" s="216">
        <v>1</v>
      </c>
      <c r="E20" s="216">
        <v>0.5</v>
      </c>
      <c r="F20" s="216">
        <f t="shared" si="2"/>
        <v>3</v>
      </c>
      <c r="G20" s="217">
        <f t="shared" si="0"/>
        <v>14.5</v>
      </c>
    </row>
    <row r="21" spans="3:7" x14ac:dyDescent="0.25">
      <c r="C21" s="215">
        <f t="shared" si="1"/>
        <v>9</v>
      </c>
      <c r="D21" s="216">
        <v>1</v>
      </c>
      <c r="E21" s="216">
        <v>0.5</v>
      </c>
      <c r="F21" s="216">
        <v>2.5</v>
      </c>
      <c r="G21" s="217">
        <f t="shared" si="0"/>
        <v>13</v>
      </c>
    </row>
    <row r="22" spans="3:7" x14ac:dyDescent="0.25">
      <c r="C22" s="215">
        <f t="shared" si="1"/>
        <v>8</v>
      </c>
      <c r="D22" s="216">
        <v>1</v>
      </c>
      <c r="E22" s="216">
        <v>0.5</v>
      </c>
      <c r="F22" s="216">
        <v>2.5</v>
      </c>
      <c r="G22" s="217">
        <f t="shared" si="0"/>
        <v>12</v>
      </c>
    </row>
    <row r="23" spans="3:7" x14ac:dyDescent="0.25">
      <c r="C23" s="215">
        <f t="shared" si="1"/>
        <v>7</v>
      </c>
      <c r="D23" s="216">
        <v>0.5</v>
      </c>
      <c r="E23" s="216">
        <v>0.5</v>
      </c>
      <c r="F23" s="216">
        <v>2</v>
      </c>
      <c r="G23" s="217">
        <f t="shared" si="0"/>
        <v>10</v>
      </c>
    </row>
    <row r="24" spans="3:7" x14ac:dyDescent="0.25">
      <c r="C24" s="215">
        <f t="shared" si="1"/>
        <v>6</v>
      </c>
      <c r="D24" s="216">
        <v>0.5</v>
      </c>
      <c r="E24" s="216">
        <v>0.5</v>
      </c>
      <c r="F24" s="216">
        <v>1.5</v>
      </c>
      <c r="G24" s="217">
        <f t="shared" si="0"/>
        <v>8.5</v>
      </c>
    </row>
    <row r="25" spans="3:7" x14ac:dyDescent="0.25">
      <c r="C25" s="215">
        <f t="shared" si="1"/>
        <v>5</v>
      </c>
      <c r="D25" s="216">
        <v>0.5</v>
      </c>
      <c r="E25" s="216">
        <v>0.5</v>
      </c>
      <c r="F25" s="216">
        <f t="shared" si="2"/>
        <v>1.5</v>
      </c>
      <c r="G25" s="217">
        <f t="shared" si="0"/>
        <v>7.5</v>
      </c>
    </row>
    <row r="26" spans="3:7" x14ac:dyDescent="0.25">
      <c r="C26" s="215"/>
      <c r="D26" s="216"/>
      <c r="E26" s="216"/>
      <c r="F26" s="216"/>
      <c r="G26" s="217"/>
    </row>
    <row r="27" spans="3:7" x14ac:dyDescent="0.25">
      <c r="C27" s="215"/>
      <c r="D27" s="216"/>
      <c r="E27" s="216"/>
      <c r="F27" s="216"/>
      <c r="G27" s="217"/>
    </row>
    <row r="28" spans="3:7" x14ac:dyDescent="0.25">
      <c r="C28" s="215"/>
      <c r="D28" s="216"/>
      <c r="E28" s="216"/>
      <c r="F28" s="216"/>
      <c r="G28" s="217"/>
    </row>
    <row r="29" spans="3:7" ht="15.75" thickBot="1" x14ac:dyDescent="0.3">
      <c r="C29" s="219"/>
      <c r="D29" s="220"/>
      <c r="E29" s="220"/>
      <c r="F29" s="220"/>
      <c r="G29" s="221"/>
    </row>
    <row r="32" spans="3:7" ht="15.75" thickBot="1" x14ac:dyDescent="0.3"/>
    <row r="33" spans="3:7" x14ac:dyDescent="0.25">
      <c r="C33" s="273" t="s">
        <v>237</v>
      </c>
      <c r="D33" s="274"/>
      <c r="E33" s="274"/>
      <c r="F33" s="274"/>
      <c r="G33" s="275"/>
    </row>
    <row r="34" spans="3:7" ht="60" x14ac:dyDescent="0.25">
      <c r="C34" s="212" t="s">
        <v>232</v>
      </c>
      <c r="D34" s="213" t="s">
        <v>231</v>
      </c>
      <c r="E34" s="213" t="s">
        <v>233</v>
      </c>
      <c r="F34" s="213" t="s">
        <v>234</v>
      </c>
      <c r="G34" s="214" t="s">
        <v>235</v>
      </c>
    </row>
    <row r="35" spans="3:7" x14ac:dyDescent="0.25">
      <c r="C35" s="218"/>
      <c r="D35" s="216"/>
      <c r="E35" s="216"/>
      <c r="F35" s="216"/>
      <c r="G35" s="217"/>
    </row>
    <row r="36" spans="3:7" x14ac:dyDescent="0.25">
      <c r="C36" s="215"/>
      <c r="D36" s="216"/>
      <c r="E36" s="216"/>
      <c r="F36" s="216"/>
      <c r="G36" s="217"/>
    </row>
    <row r="37" spans="3:7" x14ac:dyDescent="0.25">
      <c r="C37" s="215">
        <v>20</v>
      </c>
      <c r="D37" s="216">
        <v>6</v>
      </c>
      <c r="E37" s="216">
        <v>3.5</v>
      </c>
      <c r="F37" s="216">
        <v>8</v>
      </c>
      <c r="G37" s="217">
        <f t="shared" ref="G37:G53" si="3">SUM(C37:F37)</f>
        <v>37.5</v>
      </c>
    </row>
    <row r="38" spans="3:7" x14ac:dyDescent="0.25">
      <c r="C38" s="218"/>
      <c r="D38" s="216"/>
      <c r="E38" s="216"/>
      <c r="F38" s="216"/>
      <c r="G38" s="217"/>
    </row>
    <row r="39" spans="3:7" x14ac:dyDescent="0.25">
      <c r="C39" s="215">
        <v>18</v>
      </c>
      <c r="D39" s="216">
        <v>5</v>
      </c>
      <c r="E39" s="216">
        <v>3</v>
      </c>
      <c r="F39" s="216">
        <v>7</v>
      </c>
      <c r="G39" s="217">
        <f t="shared" si="3"/>
        <v>33</v>
      </c>
    </row>
    <row r="40" spans="3:7" x14ac:dyDescent="0.25">
      <c r="C40" s="218">
        <v>17</v>
      </c>
      <c r="D40" s="216">
        <v>5</v>
      </c>
      <c r="E40" s="216">
        <v>3</v>
      </c>
      <c r="F40" s="216">
        <v>6.5</v>
      </c>
      <c r="G40" s="217">
        <f t="shared" si="3"/>
        <v>31.5</v>
      </c>
    </row>
    <row r="41" spans="3:7" x14ac:dyDescent="0.25">
      <c r="C41" s="215">
        <v>16</v>
      </c>
      <c r="D41" s="216">
        <v>4.5</v>
      </c>
      <c r="E41" s="216">
        <v>2.5</v>
      </c>
      <c r="F41" s="216">
        <v>6</v>
      </c>
      <c r="G41" s="217">
        <f t="shared" si="3"/>
        <v>29</v>
      </c>
    </row>
    <row r="42" spans="3:7" x14ac:dyDescent="0.25">
      <c r="C42" s="218">
        <v>15</v>
      </c>
      <c r="D42" s="216">
        <f t="shared" ref="D42:D60" si="4">+(D$37/$C$37)*C42</f>
        <v>4.5</v>
      </c>
      <c r="E42" s="216">
        <v>2.5</v>
      </c>
      <c r="F42" s="216">
        <v>6</v>
      </c>
      <c r="G42" s="217">
        <f t="shared" si="3"/>
        <v>28</v>
      </c>
    </row>
    <row r="43" spans="3:7" x14ac:dyDescent="0.25">
      <c r="C43" s="215">
        <v>14</v>
      </c>
      <c r="D43" s="216">
        <v>4</v>
      </c>
      <c r="E43" s="216">
        <v>2</v>
      </c>
      <c r="F43" s="216">
        <v>5.5</v>
      </c>
      <c r="G43" s="217">
        <f t="shared" si="3"/>
        <v>25.5</v>
      </c>
    </row>
    <row r="44" spans="3:7" x14ac:dyDescent="0.25">
      <c r="C44" s="218">
        <v>13</v>
      </c>
      <c r="D44" s="216">
        <v>3.5</v>
      </c>
      <c r="E44" s="216">
        <v>2</v>
      </c>
      <c r="F44" s="216">
        <v>5</v>
      </c>
      <c r="G44" s="217">
        <f t="shared" si="3"/>
        <v>23.5</v>
      </c>
    </row>
    <row r="45" spans="3:7" x14ac:dyDescent="0.25">
      <c r="C45" s="215">
        <v>12</v>
      </c>
      <c r="D45" s="216">
        <v>3.5</v>
      </c>
      <c r="E45" s="216">
        <v>2</v>
      </c>
      <c r="F45" s="216">
        <v>4.5</v>
      </c>
      <c r="G45" s="217">
        <f t="shared" si="3"/>
        <v>22</v>
      </c>
    </row>
    <row r="46" spans="3:7" x14ac:dyDescent="0.25">
      <c r="C46" s="218">
        <v>11</v>
      </c>
      <c r="D46" s="216">
        <v>3</v>
      </c>
      <c r="E46" s="216">
        <v>1.5</v>
      </c>
      <c r="F46" s="216">
        <v>4</v>
      </c>
      <c r="G46" s="217">
        <f t="shared" si="3"/>
        <v>19.5</v>
      </c>
    </row>
    <row r="47" spans="3:7" x14ac:dyDescent="0.25">
      <c r="C47" s="215">
        <v>10</v>
      </c>
      <c r="D47" s="216">
        <v>3</v>
      </c>
      <c r="E47" s="216">
        <v>1.5</v>
      </c>
      <c r="F47" s="216">
        <v>4</v>
      </c>
      <c r="G47" s="217">
        <f t="shared" si="3"/>
        <v>18.5</v>
      </c>
    </row>
    <row r="48" spans="3:7" x14ac:dyDescent="0.25">
      <c r="C48" s="218">
        <v>9</v>
      </c>
      <c r="D48" s="216">
        <v>2.5</v>
      </c>
      <c r="E48" s="216">
        <v>1.5</v>
      </c>
      <c r="F48" s="216">
        <v>3.5</v>
      </c>
      <c r="G48" s="217">
        <f t="shared" si="3"/>
        <v>16.5</v>
      </c>
    </row>
    <row r="49" spans="3:7" x14ac:dyDescent="0.25">
      <c r="C49" s="215">
        <v>8</v>
      </c>
      <c r="D49" s="216">
        <v>2.5</v>
      </c>
      <c r="E49" s="216">
        <v>1</v>
      </c>
      <c r="F49" s="216">
        <v>3</v>
      </c>
      <c r="G49" s="217">
        <f t="shared" si="3"/>
        <v>14.5</v>
      </c>
    </row>
    <row r="50" spans="3:7" x14ac:dyDescent="0.25">
      <c r="C50" s="218">
        <v>7</v>
      </c>
      <c r="D50" s="216">
        <v>2</v>
      </c>
      <c r="E50" s="216">
        <v>1</v>
      </c>
      <c r="F50" s="216">
        <v>2.5</v>
      </c>
      <c r="G50" s="217">
        <f t="shared" si="3"/>
        <v>12.5</v>
      </c>
    </row>
    <row r="51" spans="3:7" x14ac:dyDescent="0.25">
      <c r="C51" s="215">
        <v>6</v>
      </c>
      <c r="D51" s="216">
        <v>1.5</v>
      </c>
      <c r="E51" s="216">
        <v>1</v>
      </c>
      <c r="F51" s="216">
        <v>2</v>
      </c>
      <c r="G51" s="217">
        <f t="shared" si="3"/>
        <v>10.5</v>
      </c>
    </row>
    <row r="52" spans="3:7" x14ac:dyDescent="0.25">
      <c r="C52" s="218"/>
      <c r="D52" s="216"/>
      <c r="E52" s="216"/>
      <c r="F52" s="216"/>
      <c r="G52" s="217"/>
    </row>
    <row r="53" spans="3:7" x14ac:dyDescent="0.25">
      <c r="C53" s="215"/>
      <c r="D53" s="216"/>
      <c r="E53" s="216"/>
      <c r="F53" s="216"/>
      <c r="G53" s="217"/>
    </row>
    <row r="54" spans="3:7" x14ac:dyDescent="0.25">
      <c r="C54" s="218"/>
      <c r="D54" s="216"/>
      <c r="E54" s="216"/>
      <c r="F54" s="216"/>
      <c r="G54" s="217"/>
    </row>
    <row r="55" spans="3:7" x14ac:dyDescent="0.25">
      <c r="C55" s="215"/>
      <c r="D55" s="216"/>
      <c r="E55" s="216"/>
      <c r="F55" s="216"/>
      <c r="G55" s="217"/>
    </row>
    <row r="56" spans="3:7" ht="15.75" thickBot="1" x14ac:dyDescent="0.3">
      <c r="C56" s="222"/>
      <c r="D56" s="220"/>
      <c r="E56" s="220"/>
      <c r="F56" s="220"/>
      <c r="G56" s="221"/>
    </row>
  </sheetData>
  <sheetProtection algorithmName="SHA-512" hashValue="wWF7tOCpJPQ0+8cKzLViZj6ass7JhVUnoUx6AqyJ5RnMAGRmcezlZcINW1/PjBFyxZ/YZ2+RGZv7E8IiDLXdrw==" saltValue="N4D2jAkvY36RhOhW4szV8Q==" spinCount="100000" sheet="1" objects="1" scenarios="1" selectLockedCells="1" selectUnlockedCells="1"/>
  <mergeCells count="2">
    <mergeCell ref="C3:G3"/>
    <mergeCell ref="C33:G33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B58"/>
  <sheetViews>
    <sheetView topLeftCell="A1048576" workbookViewId="0">
      <selection sqref="A1:XFD1048576"/>
    </sheetView>
  </sheetViews>
  <sheetFormatPr baseColWidth="10" defaultRowHeight="11.25" zeroHeight="1" x14ac:dyDescent="0.2"/>
  <cols>
    <col min="1" max="1" width="3.28515625" style="76" customWidth="1"/>
    <col min="2" max="2" width="3.28515625" style="76" bestFit="1" customWidth="1"/>
    <col min="3" max="3" width="40.7109375" style="76" bestFit="1" customWidth="1"/>
    <col min="4" max="4" width="13.85546875" style="76" customWidth="1"/>
    <col min="5" max="5" width="7.42578125" style="76" bestFit="1" customWidth="1"/>
    <col min="6" max="6" width="28.28515625" style="76" customWidth="1"/>
    <col min="7" max="7" width="9.85546875" style="76" customWidth="1"/>
    <col min="8" max="8" width="13.42578125" style="76" customWidth="1"/>
    <col min="9" max="9" width="14.85546875" style="76" customWidth="1"/>
    <col min="10" max="11" width="13.5703125" style="76" bestFit="1" customWidth="1"/>
    <col min="12" max="12" width="16.28515625" style="76" customWidth="1"/>
    <col min="13" max="13" width="11.42578125" style="76" bestFit="1" customWidth="1"/>
    <col min="14" max="14" width="13.7109375" style="76" bestFit="1" customWidth="1"/>
    <col min="15" max="16384" width="11.42578125" style="76"/>
  </cols>
  <sheetData>
    <row r="2" spans="1:15" hidden="1" x14ac:dyDescent="0.2">
      <c r="C2" s="77"/>
    </row>
    <row r="3" spans="1:15" ht="27.75" hidden="1" customHeight="1" x14ac:dyDescent="0.2">
      <c r="C3" s="76" t="s">
        <v>139</v>
      </c>
      <c r="D3" s="78" t="s">
        <v>3</v>
      </c>
      <c r="E3" s="78" t="s">
        <v>55</v>
      </c>
      <c r="F3" s="78" t="s">
        <v>133</v>
      </c>
      <c r="G3" s="78" t="s">
        <v>134</v>
      </c>
      <c r="H3" s="79" t="s">
        <v>135</v>
      </c>
      <c r="I3" s="79" t="s">
        <v>6</v>
      </c>
      <c r="J3" s="79" t="s">
        <v>7</v>
      </c>
      <c r="K3" s="79" t="s">
        <v>8</v>
      </c>
      <c r="L3" s="79" t="s">
        <v>9</v>
      </c>
      <c r="M3" s="80" t="s">
        <v>17</v>
      </c>
      <c r="N3" s="80" t="s">
        <v>66</v>
      </c>
    </row>
    <row r="4" spans="1:15" ht="12.95" hidden="1" customHeight="1" x14ac:dyDescent="0.2">
      <c r="A4" s="81"/>
      <c r="B4" s="80" t="s">
        <v>132</v>
      </c>
      <c r="C4" s="76" t="s">
        <v>119</v>
      </c>
      <c r="D4" s="76">
        <v>958.98</v>
      </c>
      <c r="E4" s="76">
        <v>34.770000000000003</v>
      </c>
      <c r="F4" s="82">
        <v>699.38</v>
      </c>
      <c r="G4" s="82">
        <v>25.35</v>
      </c>
      <c r="H4" s="76">
        <v>479.88</v>
      </c>
      <c r="I4" s="76">
        <v>654.28</v>
      </c>
      <c r="J4" s="76">
        <v>117.25</v>
      </c>
      <c r="K4" s="76">
        <v>390.61</v>
      </c>
      <c r="L4" s="76">
        <v>27.41</v>
      </c>
      <c r="M4" s="76">
        <v>37.67</v>
      </c>
      <c r="N4" s="83">
        <v>86.03</v>
      </c>
    </row>
    <row r="5" spans="1:15" ht="12.95" hidden="1" customHeight="1" x14ac:dyDescent="0.2">
      <c r="B5" s="80" t="s">
        <v>132</v>
      </c>
      <c r="C5" s="76" t="s">
        <v>115</v>
      </c>
      <c r="D5" s="76">
        <v>958.98</v>
      </c>
      <c r="E5" s="76">
        <v>34.770000000000003</v>
      </c>
      <c r="F5" s="82">
        <v>699.38</v>
      </c>
      <c r="G5" s="82">
        <v>25.35</v>
      </c>
      <c r="H5" s="76">
        <v>590.97</v>
      </c>
      <c r="I5" s="76">
        <v>616.37</v>
      </c>
      <c r="J5" s="76">
        <v>117.25</v>
      </c>
      <c r="K5" s="76">
        <v>390.61</v>
      </c>
      <c r="L5" s="76">
        <v>27.41</v>
      </c>
      <c r="M5" s="76">
        <v>37.67</v>
      </c>
      <c r="N5" s="83">
        <v>86.03</v>
      </c>
    </row>
    <row r="6" spans="1:15" ht="12.95" hidden="1" customHeight="1" x14ac:dyDescent="0.2">
      <c r="B6" s="80" t="s">
        <v>132</v>
      </c>
      <c r="C6" s="76" t="s">
        <v>118</v>
      </c>
      <c r="D6" s="76">
        <v>958.98</v>
      </c>
      <c r="E6" s="76">
        <v>34.770000000000003</v>
      </c>
      <c r="F6" s="82">
        <v>699.38</v>
      </c>
      <c r="G6" s="82">
        <v>25.35</v>
      </c>
      <c r="H6" s="76">
        <v>590.97</v>
      </c>
      <c r="I6" s="76">
        <v>616.37</v>
      </c>
      <c r="J6" s="76">
        <v>117.25</v>
      </c>
      <c r="K6" s="76">
        <v>390.61</v>
      </c>
      <c r="L6" s="76">
        <v>27.41</v>
      </c>
      <c r="M6" s="76">
        <v>37.67</v>
      </c>
      <c r="N6" s="83">
        <v>86.03</v>
      </c>
    </row>
    <row r="7" spans="1:15" ht="12.95" hidden="1" customHeight="1" x14ac:dyDescent="0.2">
      <c r="B7" s="80" t="s">
        <v>81</v>
      </c>
      <c r="C7" s="76" t="s">
        <v>136</v>
      </c>
      <c r="D7" s="76">
        <v>1109.0999999999999</v>
      </c>
      <c r="E7" s="76">
        <v>42.65</v>
      </c>
      <c r="F7" s="82">
        <v>684.36</v>
      </c>
      <c r="G7" s="82">
        <v>26.31</v>
      </c>
      <c r="H7" s="76">
        <v>590.97</v>
      </c>
      <c r="I7" s="76">
        <v>614.51</v>
      </c>
      <c r="J7" s="76">
        <v>130.26</v>
      </c>
      <c r="K7" s="76">
        <v>434.01</v>
      </c>
      <c r="L7" s="76">
        <v>30.5</v>
      </c>
      <c r="M7" s="76">
        <v>47.86</v>
      </c>
      <c r="N7" s="83">
        <v>109.31</v>
      </c>
    </row>
    <row r="8" spans="1:15" ht="12.95" hidden="1" customHeight="1" x14ac:dyDescent="0.2">
      <c r="B8" s="80" t="s">
        <v>81</v>
      </c>
      <c r="C8" s="76" t="s">
        <v>116</v>
      </c>
      <c r="D8" s="76">
        <v>1109.0999999999999</v>
      </c>
      <c r="E8" s="76">
        <v>42.65</v>
      </c>
      <c r="F8" s="82">
        <v>684.36</v>
      </c>
      <c r="G8" s="82">
        <v>26.31</v>
      </c>
      <c r="H8" s="76">
        <v>590.97</v>
      </c>
      <c r="I8" s="76">
        <v>614.51</v>
      </c>
      <c r="J8" s="76">
        <v>130.26</v>
      </c>
      <c r="K8" s="76">
        <v>434.01</v>
      </c>
      <c r="L8" s="76">
        <v>30.5</v>
      </c>
      <c r="M8" s="76">
        <v>47.86</v>
      </c>
      <c r="N8" s="83">
        <v>109.31</v>
      </c>
    </row>
    <row r="9" spans="1:15" ht="12.95" hidden="1" customHeight="1" x14ac:dyDescent="0.2">
      <c r="B9" s="80" t="s">
        <v>81</v>
      </c>
      <c r="C9" s="76" t="s">
        <v>137</v>
      </c>
      <c r="D9" s="76">
        <v>1109.0999999999999</v>
      </c>
      <c r="E9" s="76">
        <v>42.65</v>
      </c>
      <c r="F9" s="82">
        <v>684.36</v>
      </c>
      <c r="G9" s="82">
        <v>26.31</v>
      </c>
      <c r="H9" s="76">
        <v>590.97</v>
      </c>
      <c r="I9" s="76">
        <v>614.51</v>
      </c>
      <c r="J9" s="76">
        <v>130.26</v>
      </c>
      <c r="K9" s="76">
        <v>434.01</v>
      </c>
      <c r="L9" s="76">
        <v>30.5</v>
      </c>
      <c r="M9" s="76">
        <v>47.86</v>
      </c>
      <c r="N9" s="83">
        <v>109.31</v>
      </c>
    </row>
    <row r="10" spans="1:15" ht="12.95" hidden="1" customHeight="1" x14ac:dyDescent="0.2">
      <c r="B10" s="80" t="s">
        <v>81</v>
      </c>
      <c r="C10" s="76" t="s">
        <v>117</v>
      </c>
      <c r="D10" s="76">
        <v>1109.0999999999999</v>
      </c>
      <c r="E10" s="76">
        <v>42.65</v>
      </c>
      <c r="F10" s="82">
        <v>684.36</v>
      </c>
      <c r="G10" s="82">
        <v>26.31</v>
      </c>
      <c r="H10" s="76">
        <v>590.97</v>
      </c>
      <c r="I10" s="76">
        <v>614.51</v>
      </c>
      <c r="J10" s="76">
        <v>130.26</v>
      </c>
      <c r="K10" s="76">
        <v>434.01</v>
      </c>
      <c r="L10" s="76">
        <v>30.5</v>
      </c>
      <c r="M10" s="76">
        <v>47.86</v>
      </c>
      <c r="N10" s="83">
        <v>109.31</v>
      </c>
    </row>
    <row r="11" spans="1:15" ht="12.95" hidden="1" customHeight="1" x14ac:dyDescent="0.2">
      <c r="B11" s="80" t="s">
        <v>81</v>
      </c>
      <c r="C11" s="80" t="s">
        <v>114</v>
      </c>
      <c r="D11" s="76">
        <v>1109.0999999999999</v>
      </c>
      <c r="E11" s="76">
        <v>42.65</v>
      </c>
      <c r="F11" s="82">
        <v>684.36</v>
      </c>
      <c r="G11" s="82">
        <v>26.31</v>
      </c>
      <c r="H11" s="76">
        <v>707.83</v>
      </c>
      <c r="I11" s="76">
        <v>662.81</v>
      </c>
      <c r="J11" s="76">
        <v>146.55000000000001</v>
      </c>
      <c r="K11" s="76">
        <v>488.27</v>
      </c>
      <c r="L11" s="76">
        <v>34.25</v>
      </c>
      <c r="M11" s="76">
        <v>47.86</v>
      </c>
      <c r="N11" s="83">
        <v>109.31</v>
      </c>
    </row>
    <row r="12" spans="1:15" ht="12.95" hidden="1" customHeight="1" x14ac:dyDescent="0.2">
      <c r="B12" s="80" t="s">
        <v>81</v>
      </c>
      <c r="C12" s="76" t="s">
        <v>138</v>
      </c>
      <c r="D12" s="76">
        <v>1109.0999999999999</v>
      </c>
      <c r="E12" s="76">
        <v>42.65</v>
      </c>
      <c r="F12" s="82">
        <v>684.36</v>
      </c>
      <c r="G12" s="82">
        <v>26.31</v>
      </c>
      <c r="H12" s="76">
        <v>707.83</v>
      </c>
      <c r="J12" s="76">
        <v>162.78</v>
      </c>
      <c r="K12" s="76">
        <v>542.51</v>
      </c>
      <c r="L12" s="76">
        <v>38.06</v>
      </c>
      <c r="M12" s="76">
        <v>47.86</v>
      </c>
      <c r="N12" s="83">
        <v>109.31</v>
      </c>
    </row>
    <row r="13" spans="1:15" ht="12.95" hidden="1" customHeight="1" x14ac:dyDescent="0.2">
      <c r="B13" s="80"/>
      <c r="F13" s="80"/>
      <c r="G13" s="80"/>
    </row>
    <row r="14" spans="1:15" ht="12.95" hidden="1" customHeight="1" x14ac:dyDescent="0.2">
      <c r="B14" s="80"/>
    </row>
    <row r="15" spans="1:15" ht="12.95" hidden="1" customHeight="1" x14ac:dyDescent="0.2">
      <c r="C15" s="80"/>
    </row>
    <row r="16" spans="1:15" ht="35.25" hidden="1" customHeight="1" thickBot="1" x14ac:dyDescent="0.25">
      <c r="D16" s="109" t="str">
        <f>+Nómina!AI104</f>
        <v>590-Profesores Enseñanza Secundaria</v>
      </c>
      <c r="G16" s="107" t="s">
        <v>128</v>
      </c>
      <c r="H16" s="107" t="s">
        <v>123</v>
      </c>
      <c r="I16" s="107" t="s">
        <v>127</v>
      </c>
      <c r="J16" s="107" t="s">
        <v>122</v>
      </c>
      <c r="K16" s="107" t="s">
        <v>124</v>
      </c>
      <c r="L16" s="107" t="s">
        <v>125</v>
      </c>
      <c r="M16" s="107" t="s">
        <v>126</v>
      </c>
      <c r="N16" s="107" t="s">
        <v>121</v>
      </c>
      <c r="O16" s="107" t="s">
        <v>120</v>
      </c>
    </row>
    <row r="17" spans="3:15" ht="12.95" hidden="1" customHeight="1" thickBot="1" x14ac:dyDescent="0.25">
      <c r="C17" s="84" t="s">
        <v>1</v>
      </c>
      <c r="D17" s="108" t="str">
        <f>IF($D$16=$G$16,G17,IF($D$16=H$16,H17,IF($D$16=I$16,I17,IF($D$16=J$16,J17,IF($D$16=K$16,K17,IF($D$16=L$16,L17,IF($D$16=M$16,M17,IF($D$16=N$16,N17,O17))))))))</f>
        <v>A1</v>
      </c>
      <c r="F17" s="76" t="s">
        <v>139</v>
      </c>
      <c r="G17" s="102" t="s">
        <v>132</v>
      </c>
      <c r="H17" s="102" t="s">
        <v>132</v>
      </c>
      <c r="I17" s="102" t="s">
        <v>132</v>
      </c>
      <c r="J17" s="102" t="s">
        <v>81</v>
      </c>
      <c r="K17" s="102" t="s">
        <v>81</v>
      </c>
      <c r="L17" s="102" t="s">
        <v>81</v>
      </c>
      <c r="M17" s="102" t="s">
        <v>81</v>
      </c>
      <c r="N17" s="102" t="s">
        <v>81</v>
      </c>
      <c r="O17" s="102" t="s">
        <v>81</v>
      </c>
    </row>
    <row r="18" spans="3:15" ht="12.95" hidden="1" customHeight="1" x14ac:dyDescent="0.25">
      <c r="C18" s="85" t="s">
        <v>3</v>
      </c>
      <c r="D18" s="89">
        <f>IF($D$16=$G$16,G18,IF($D$16=H$16,H18,IF($D$16=I$16,I18,IF($D$16=J$16,J18,IF($D$16=K$16,K18,IF($D$16=L$16,L18,IF($D$16=M$16,M18,IF($D$16=N$16,N18,O18))))))))</f>
        <v>1120.1500000000001</v>
      </c>
      <c r="F18" s="103" t="s">
        <v>3</v>
      </c>
      <c r="G18" s="126">
        <v>968.57</v>
      </c>
      <c r="H18" s="126">
        <v>968.57</v>
      </c>
      <c r="I18" s="126">
        <v>968.57</v>
      </c>
      <c r="J18" s="126">
        <v>1120.1500000000001</v>
      </c>
      <c r="K18" s="126">
        <v>1120.1500000000001</v>
      </c>
      <c r="L18" s="126">
        <v>1120.1500000000001</v>
      </c>
      <c r="M18" s="126">
        <v>1120.1500000000001</v>
      </c>
      <c r="N18" s="126">
        <v>1120.1500000000001</v>
      </c>
      <c r="O18" s="126">
        <v>1120.1500000000001</v>
      </c>
    </row>
    <row r="19" spans="3:15" ht="12.95" hidden="1" customHeight="1" x14ac:dyDescent="0.25">
      <c r="C19" s="86" t="s">
        <v>20</v>
      </c>
      <c r="D19" s="91">
        <f t="shared" ref="D19:D34" si="0">IF($D$16=$G$16,G19,IF($D$16=H$16,H19,IF($D$16=I$16,I19,IF($D$16=J$16,J19,IF($D$16=K$16,K19,IF($D$16=L$16,L19,IF($D$16=M$16,M19,IF($D$16=N$16,N19,O19))))))))</f>
        <v>691.21</v>
      </c>
      <c r="F19" s="103" t="s">
        <v>133</v>
      </c>
      <c r="G19" s="126">
        <v>706.38</v>
      </c>
      <c r="H19" s="126">
        <v>706.38</v>
      </c>
      <c r="I19" s="126">
        <v>706.38</v>
      </c>
      <c r="J19" s="126">
        <v>691.21</v>
      </c>
      <c r="K19" s="126">
        <v>691.21</v>
      </c>
      <c r="L19" s="126">
        <v>691.21</v>
      </c>
      <c r="M19" s="126">
        <v>691.21</v>
      </c>
      <c r="N19" s="126">
        <v>691.21</v>
      </c>
      <c r="O19" s="126">
        <v>691.21</v>
      </c>
    </row>
    <row r="20" spans="3:15" ht="12.95" hidden="1" customHeight="1" thickBot="1" x14ac:dyDescent="0.3">
      <c r="C20" s="87" t="s">
        <v>21</v>
      </c>
      <c r="D20" s="91">
        <f t="shared" si="0"/>
        <v>691.21</v>
      </c>
      <c r="F20" s="103"/>
      <c r="G20" s="126">
        <v>706.38</v>
      </c>
      <c r="H20" s="126">
        <v>706.38</v>
      </c>
      <c r="I20" s="126">
        <v>706.38</v>
      </c>
      <c r="J20" s="126">
        <v>691.21</v>
      </c>
      <c r="K20" s="126">
        <v>691.21</v>
      </c>
      <c r="L20" s="126">
        <v>691.21</v>
      </c>
      <c r="M20" s="126">
        <v>691.21</v>
      </c>
      <c r="N20" s="126">
        <v>691.21</v>
      </c>
      <c r="O20" s="126">
        <v>691.21</v>
      </c>
    </row>
    <row r="21" spans="3:15" ht="12.95" hidden="1" customHeight="1" x14ac:dyDescent="0.25">
      <c r="C21" s="88" t="s">
        <v>4</v>
      </c>
      <c r="D21" s="91">
        <f t="shared" si="0"/>
        <v>43.08</v>
      </c>
      <c r="F21" s="103" t="s">
        <v>55</v>
      </c>
      <c r="G21" s="126">
        <v>35.119999999999997</v>
      </c>
      <c r="H21" s="126">
        <v>35.119999999999997</v>
      </c>
      <c r="I21" s="126">
        <v>35.119999999999997</v>
      </c>
      <c r="J21" s="126">
        <v>43.08</v>
      </c>
      <c r="K21" s="126">
        <v>43.08</v>
      </c>
      <c r="L21" s="126">
        <v>43.08</v>
      </c>
      <c r="M21" s="126">
        <v>43.08</v>
      </c>
      <c r="N21" s="126">
        <v>43.08</v>
      </c>
      <c r="O21" s="126">
        <v>43.08</v>
      </c>
    </row>
    <row r="22" spans="3:15" ht="12.95" hidden="1" customHeight="1" x14ac:dyDescent="0.25">
      <c r="C22" s="90" t="s">
        <v>22</v>
      </c>
      <c r="D22" s="91">
        <f t="shared" si="0"/>
        <v>26.58</v>
      </c>
      <c r="F22" s="103" t="s">
        <v>134</v>
      </c>
      <c r="G22" s="126">
        <v>25.61</v>
      </c>
      <c r="H22" s="126">
        <v>25.61</v>
      </c>
      <c r="I22" s="126">
        <v>25.61</v>
      </c>
      <c r="J22" s="126">
        <v>26.58</v>
      </c>
      <c r="K22" s="126">
        <v>26.58</v>
      </c>
      <c r="L22" s="126">
        <v>26.58</v>
      </c>
      <c r="M22" s="126">
        <v>26.58</v>
      </c>
      <c r="N22" s="126">
        <v>26.58</v>
      </c>
      <c r="O22" s="126">
        <v>26.58</v>
      </c>
    </row>
    <row r="23" spans="3:15" ht="12.95" hidden="1" customHeight="1" thickBot="1" x14ac:dyDescent="0.3">
      <c r="C23" s="92" t="s">
        <v>23</v>
      </c>
      <c r="D23" s="91">
        <f t="shared" si="0"/>
        <v>26.58</v>
      </c>
      <c r="F23" s="103"/>
      <c r="G23" s="126">
        <v>25.61</v>
      </c>
      <c r="H23" s="126">
        <v>25.61</v>
      </c>
      <c r="I23" s="126">
        <v>25.61</v>
      </c>
      <c r="J23" s="126">
        <v>26.58</v>
      </c>
      <c r="K23" s="126">
        <v>26.58</v>
      </c>
      <c r="L23" s="126">
        <v>26.58</v>
      </c>
      <c r="M23" s="126">
        <v>26.58</v>
      </c>
      <c r="N23" s="126">
        <v>26.58</v>
      </c>
      <c r="O23" s="126">
        <v>26.58</v>
      </c>
    </row>
    <row r="24" spans="3:15" ht="12.95" hidden="1" customHeight="1" x14ac:dyDescent="0.2">
      <c r="C24" s="93" t="s">
        <v>18</v>
      </c>
      <c r="D24" s="91">
        <f t="shared" si="0"/>
        <v>0</v>
      </c>
      <c r="F24" s="103" t="s">
        <v>160</v>
      </c>
      <c r="G24" s="82"/>
      <c r="H24" s="82"/>
      <c r="I24" s="82"/>
      <c r="J24" s="82"/>
      <c r="K24" s="82"/>
      <c r="L24" s="82"/>
      <c r="M24" s="82"/>
      <c r="N24" s="82"/>
      <c r="O24" s="82"/>
    </row>
    <row r="25" spans="3:15" ht="12.95" hidden="1" customHeight="1" thickBot="1" x14ac:dyDescent="0.25">
      <c r="C25" s="94" t="s">
        <v>19</v>
      </c>
      <c r="D25" s="91">
        <f t="shared" si="0"/>
        <v>30.786706349206348</v>
      </c>
      <c r="F25" s="103"/>
      <c r="G25" s="82">
        <f>+G26/20.16</f>
        <v>32.779265873015873</v>
      </c>
      <c r="H25" s="82">
        <f t="shared" ref="H25:O25" si="1">+H26/20.16</f>
        <v>30.879464285714285</v>
      </c>
      <c r="I25" s="82">
        <f t="shared" si="1"/>
        <v>30.879464285714285</v>
      </c>
      <c r="J25" s="82">
        <f t="shared" si="1"/>
        <v>30.786706349206348</v>
      </c>
      <c r="K25" s="82">
        <f t="shared" si="1"/>
        <v>30.786706349206348</v>
      </c>
      <c r="L25" s="82">
        <f t="shared" si="1"/>
        <v>30.786706349206348</v>
      </c>
      <c r="M25" s="82">
        <f t="shared" si="1"/>
        <v>30.786706349206348</v>
      </c>
      <c r="N25" s="82">
        <f t="shared" si="1"/>
        <v>33.206349206349209</v>
      </c>
      <c r="O25" s="82">
        <f t="shared" si="1"/>
        <v>69.185019841269835</v>
      </c>
    </row>
    <row r="26" spans="3:15" ht="12.95" hidden="1" customHeight="1" thickBot="1" x14ac:dyDescent="0.3">
      <c r="C26" s="95" t="s">
        <v>6</v>
      </c>
      <c r="D26" s="91">
        <f t="shared" si="0"/>
        <v>620.66</v>
      </c>
      <c r="F26" s="104" t="s">
        <v>6</v>
      </c>
      <c r="G26" s="126">
        <v>660.83</v>
      </c>
      <c r="H26" s="126">
        <v>622.53</v>
      </c>
      <c r="I26" s="126">
        <v>622.53</v>
      </c>
      <c r="J26" s="126">
        <v>620.66</v>
      </c>
      <c r="K26" s="126">
        <v>620.66</v>
      </c>
      <c r="L26" s="126">
        <v>620.66</v>
      </c>
      <c r="M26" s="126">
        <v>620.66</v>
      </c>
      <c r="N26" s="126">
        <v>669.44</v>
      </c>
      <c r="O26" s="130">
        <v>1394.77</v>
      </c>
    </row>
    <row r="27" spans="3:15" ht="12.95" hidden="1" customHeight="1" thickBot="1" x14ac:dyDescent="0.25">
      <c r="C27" s="96" t="s">
        <v>0</v>
      </c>
      <c r="D27" s="91">
        <f t="shared" si="0"/>
        <v>24</v>
      </c>
      <c r="F27" s="105"/>
      <c r="G27" s="76">
        <v>21</v>
      </c>
      <c r="H27" s="76">
        <v>24</v>
      </c>
      <c r="I27" s="76">
        <v>24</v>
      </c>
      <c r="J27" s="76">
        <v>24</v>
      </c>
      <c r="K27" s="76">
        <v>24</v>
      </c>
      <c r="L27" s="76">
        <v>24</v>
      </c>
      <c r="M27" s="76">
        <v>24</v>
      </c>
      <c r="N27" s="76">
        <v>26</v>
      </c>
      <c r="O27" s="76">
        <v>26</v>
      </c>
    </row>
    <row r="28" spans="3:15" ht="12.95" hidden="1" customHeight="1" thickBot="1" x14ac:dyDescent="0.3">
      <c r="C28" s="97" t="s">
        <v>5</v>
      </c>
      <c r="D28" s="91">
        <f t="shared" si="0"/>
        <v>596.88</v>
      </c>
      <c r="F28" s="104" t="s">
        <v>135</v>
      </c>
      <c r="G28" s="126">
        <v>484.68</v>
      </c>
      <c r="H28" s="126">
        <v>596.88</v>
      </c>
      <c r="I28" s="126">
        <v>596.88</v>
      </c>
      <c r="J28" s="126">
        <v>596.88</v>
      </c>
      <c r="K28" s="126">
        <v>596.88</v>
      </c>
      <c r="L28" s="126">
        <v>596.88</v>
      </c>
      <c r="M28" s="126">
        <v>596.88</v>
      </c>
      <c r="N28" s="126">
        <v>714.91</v>
      </c>
      <c r="O28" s="126">
        <v>714.91</v>
      </c>
    </row>
    <row r="29" spans="3:15" ht="12.95" hidden="1" customHeight="1" thickBot="1" x14ac:dyDescent="0.25">
      <c r="C29" s="98" t="s">
        <v>2</v>
      </c>
      <c r="D29" s="91">
        <f t="shared" si="0"/>
        <v>4</v>
      </c>
      <c r="F29" s="105"/>
      <c r="J29" s="76">
        <v>4</v>
      </c>
      <c r="K29" s="76">
        <v>4</v>
      </c>
      <c r="L29" s="76">
        <v>4</v>
      </c>
      <c r="M29" s="76">
        <v>4</v>
      </c>
      <c r="N29" s="76">
        <v>4.5</v>
      </c>
      <c r="O29" s="76">
        <v>5</v>
      </c>
    </row>
    <row r="30" spans="3:15" ht="12.95" hidden="1" customHeight="1" x14ac:dyDescent="0.25">
      <c r="C30" s="99" t="s">
        <v>7</v>
      </c>
      <c r="D30" s="91">
        <f t="shared" si="0"/>
        <v>131.57</v>
      </c>
      <c r="F30" s="104" t="s">
        <v>7</v>
      </c>
      <c r="G30" s="223">
        <v>118.43</v>
      </c>
      <c r="H30" s="223">
        <v>118.43</v>
      </c>
      <c r="I30" s="223">
        <v>118.43</v>
      </c>
      <c r="J30" s="223">
        <v>131.57</v>
      </c>
      <c r="K30" s="223">
        <v>131.57</v>
      </c>
      <c r="L30" s="223">
        <v>131.57</v>
      </c>
      <c r="M30" s="223">
        <v>131.57</v>
      </c>
      <c r="N30" s="224">
        <v>148.02000000000001</v>
      </c>
      <c r="O30" s="223">
        <v>164.41</v>
      </c>
    </row>
    <row r="31" spans="3:15" ht="12.95" hidden="1" customHeight="1" x14ac:dyDescent="0.25">
      <c r="C31" s="99" t="s">
        <v>8</v>
      </c>
      <c r="D31" s="91">
        <f t="shared" si="0"/>
        <v>438.35</v>
      </c>
      <c r="F31" s="104" t="s">
        <v>8</v>
      </c>
      <c r="G31" s="223">
        <v>394.52</v>
      </c>
      <c r="H31" s="223">
        <v>394.52</v>
      </c>
      <c r="I31" s="223">
        <v>394.52</v>
      </c>
      <c r="J31" s="223">
        <v>438.35</v>
      </c>
      <c r="K31" s="223">
        <v>438.35</v>
      </c>
      <c r="L31" s="223">
        <v>438.35</v>
      </c>
      <c r="M31" s="223">
        <v>438.35</v>
      </c>
      <c r="N31" s="223">
        <v>493.15</v>
      </c>
      <c r="O31" s="223">
        <v>547.94000000000005</v>
      </c>
    </row>
    <row r="32" spans="3:15" ht="12.95" hidden="1" customHeight="1" thickBot="1" x14ac:dyDescent="0.3">
      <c r="C32" s="100" t="s">
        <v>9</v>
      </c>
      <c r="D32" s="91">
        <f t="shared" si="0"/>
        <v>30.81</v>
      </c>
      <c r="F32" s="104" t="s">
        <v>9</v>
      </c>
      <c r="G32" s="223">
        <v>27.68</v>
      </c>
      <c r="H32" s="223">
        <v>27.68</v>
      </c>
      <c r="I32" s="223">
        <v>27.68</v>
      </c>
      <c r="J32" s="223">
        <v>30.81</v>
      </c>
      <c r="K32" s="223">
        <v>30.81</v>
      </c>
      <c r="L32" s="223">
        <v>30.81</v>
      </c>
      <c r="M32" s="223">
        <v>30.81</v>
      </c>
      <c r="N32" s="223">
        <v>34.590000000000003</v>
      </c>
      <c r="O32" s="223">
        <v>38.44</v>
      </c>
    </row>
    <row r="33" spans="3:28" ht="12.95" hidden="1" customHeight="1" x14ac:dyDescent="0.2">
      <c r="C33" s="76" t="s">
        <v>17</v>
      </c>
      <c r="D33" s="91">
        <f t="shared" si="0"/>
        <v>-48.1</v>
      </c>
      <c r="F33" s="106" t="s">
        <v>17</v>
      </c>
      <c r="G33" s="131">
        <v>-37.86</v>
      </c>
      <c r="H33" s="131">
        <v>-37.86</v>
      </c>
      <c r="I33" s="131">
        <v>-37.86</v>
      </c>
      <c r="J33" s="131">
        <v>-48.1</v>
      </c>
      <c r="K33" s="131">
        <v>-48.1</v>
      </c>
      <c r="L33" s="131">
        <v>-48.1</v>
      </c>
      <c r="M33" s="131">
        <v>-48.1</v>
      </c>
      <c r="N33" s="131">
        <v>-48.1</v>
      </c>
      <c r="O33" s="131">
        <v>-48.1</v>
      </c>
    </row>
    <row r="34" spans="3:28" ht="12.95" hidden="1" customHeight="1" x14ac:dyDescent="0.2">
      <c r="C34" s="76" t="s">
        <v>66</v>
      </c>
      <c r="D34" s="91">
        <f t="shared" si="0"/>
        <v>-109.86</v>
      </c>
      <c r="F34" s="106" t="s">
        <v>66</v>
      </c>
      <c r="G34" s="131">
        <v>-86.46</v>
      </c>
      <c r="H34" s="131">
        <v>-86.46</v>
      </c>
      <c r="I34" s="131">
        <v>-86.46</v>
      </c>
      <c r="J34" s="131">
        <v>-109.86</v>
      </c>
      <c r="K34" s="131">
        <v>-109.86</v>
      </c>
      <c r="L34" s="131">
        <v>-109.86</v>
      </c>
      <c r="M34" s="131">
        <v>-109.86</v>
      </c>
      <c r="N34" s="131">
        <v>-109.86</v>
      </c>
      <c r="O34" s="131">
        <v>-109.86</v>
      </c>
    </row>
    <row r="35" spans="3:28" ht="12.95" hidden="1" customHeight="1" x14ac:dyDescent="0.2"/>
    <row r="36" spans="3:28" ht="12.95" hidden="1" customHeight="1" x14ac:dyDescent="0.2"/>
    <row r="37" spans="3:28" ht="12.95" hidden="1" customHeight="1" x14ac:dyDescent="0.2"/>
    <row r="38" spans="3:28" ht="12.95" hidden="1" customHeight="1" x14ac:dyDescent="0.25">
      <c r="E38" s="119"/>
      <c r="F38" s="119"/>
      <c r="G38" s="120"/>
      <c r="H38" s="120"/>
      <c r="I38" s="120"/>
      <c r="J38" s="120"/>
      <c r="K38" s="121"/>
      <c r="L38" s="121"/>
      <c r="M38" s="121"/>
      <c r="N38" s="121"/>
      <c r="O38" s="121"/>
      <c r="P38" s="121"/>
      <c r="Q38" s="121"/>
      <c r="R38" s="122"/>
      <c r="S38" s="122"/>
      <c r="T38" s="122"/>
      <c r="U38" s="123"/>
      <c r="V38" s="119"/>
      <c r="W38" s="124"/>
      <c r="X38" s="119"/>
      <c r="Y38" s="119"/>
      <c r="Z38" s="119"/>
      <c r="AA38" s="125" t="s">
        <v>17</v>
      </c>
      <c r="AB38" s="125" t="s">
        <v>66</v>
      </c>
    </row>
    <row r="39" spans="3:28" ht="12.95" hidden="1" customHeight="1" x14ac:dyDescent="0.25">
      <c r="E39" s="125"/>
      <c r="F39" s="119"/>
      <c r="G39" s="120"/>
      <c r="H39" s="120"/>
      <c r="I39" s="120"/>
      <c r="J39" s="120"/>
      <c r="K39" s="121"/>
      <c r="L39" s="121"/>
      <c r="M39" s="121"/>
      <c r="N39" s="127"/>
      <c r="O39" s="127"/>
      <c r="P39" s="128"/>
      <c r="Q39" s="128"/>
      <c r="R39" s="129"/>
      <c r="S39" s="129"/>
      <c r="T39" s="129"/>
      <c r="U39" s="129"/>
      <c r="V39" s="127"/>
      <c r="W39" s="127"/>
      <c r="X39" s="119"/>
      <c r="Y39" s="119"/>
      <c r="Z39" s="119"/>
      <c r="AA39" s="127">
        <f>+AB56</f>
        <v>0</v>
      </c>
      <c r="AB39" s="127">
        <f>+AC56</f>
        <v>0</v>
      </c>
    </row>
    <row r="40" spans="3:28" ht="12.95" hidden="1" customHeight="1" x14ac:dyDescent="0.25">
      <c r="E40" s="125"/>
      <c r="F40" s="119"/>
      <c r="G40" s="120"/>
      <c r="H40" s="120"/>
      <c r="I40" s="120"/>
      <c r="J40" s="120"/>
      <c r="K40" s="121"/>
      <c r="L40" s="121"/>
      <c r="M40" s="121"/>
      <c r="N40" s="127"/>
      <c r="O40" s="127"/>
      <c r="P40" s="128"/>
      <c r="Q40" s="128"/>
      <c r="R40" s="129"/>
      <c r="S40" s="129"/>
      <c r="T40" s="129"/>
      <c r="U40" s="129"/>
      <c r="V40" s="127"/>
      <c r="W40" s="127"/>
      <c r="X40" s="119"/>
      <c r="Y40" s="119"/>
      <c r="Z40" s="119"/>
      <c r="AA40" s="127">
        <f>+AB56</f>
        <v>0</v>
      </c>
      <c r="AB40" s="127">
        <f>+AB39</f>
        <v>0</v>
      </c>
    </row>
    <row r="41" spans="3:28" ht="12.95" hidden="1" customHeight="1" x14ac:dyDescent="0.25">
      <c r="E41" s="125"/>
      <c r="F41" s="119"/>
      <c r="G41" s="120"/>
      <c r="H41" s="120"/>
      <c r="I41" s="120"/>
      <c r="J41" s="120"/>
      <c r="K41" s="121"/>
      <c r="L41" s="121"/>
      <c r="M41" s="121"/>
      <c r="N41" s="127"/>
      <c r="O41" s="127"/>
      <c r="P41" s="128"/>
      <c r="Q41" s="128"/>
      <c r="R41" s="129"/>
      <c r="S41" s="129"/>
      <c r="T41" s="129"/>
      <c r="U41" s="129"/>
      <c r="V41" s="127"/>
      <c r="W41" s="127"/>
      <c r="X41" s="119"/>
      <c r="Y41" s="119"/>
      <c r="Z41" s="119"/>
      <c r="AA41" s="127">
        <f>+AB56</f>
        <v>0</v>
      </c>
      <c r="AB41" s="127">
        <f>+AB40</f>
        <v>0</v>
      </c>
    </row>
    <row r="42" spans="3:28" ht="15" hidden="1" x14ac:dyDescent="0.25">
      <c r="E42" s="125"/>
      <c r="F42" s="119"/>
      <c r="G42" s="120"/>
      <c r="H42" s="120"/>
      <c r="I42" s="120"/>
      <c r="J42" s="120"/>
      <c r="K42" s="121"/>
      <c r="L42" s="121"/>
      <c r="M42" s="121"/>
      <c r="N42" s="127"/>
      <c r="O42" s="127"/>
      <c r="P42" s="128"/>
      <c r="Q42" s="128"/>
      <c r="R42" s="129"/>
      <c r="S42" s="129"/>
      <c r="T42" s="129"/>
      <c r="U42" s="129"/>
      <c r="V42" s="127"/>
      <c r="W42" s="127"/>
      <c r="X42" s="119"/>
      <c r="Y42" s="119"/>
      <c r="Z42" s="119"/>
      <c r="AA42" s="127">
        <f>+AB55</f>
        <v>0</v>
      </c>
      <c r="AB42" s="127">
        <f>+AC55</f>
        <v>0</v>
      </c>
    </row>
    <row r="43" spans="3:28" ht="15" hidden="1" x14ac:dyDescent="0.25">
      <c r="E43" s="125"/>
      <c r="F43" s="119"/>
      <c r="G43" s="120"/>
      <c r="H43" s="120"/>
      <c r="I43" s="120"/>
      <c r="J43" s="120"/>
      <c r="K43" s="121"/>
      <c r="L43" s="121"/>
      <c r="M43" s="121"/>
      <c r="N43" s="127"/>
      <c r="O43" s="127"/>
      <c r="P43" s="128"/>
      <c r="Q43" s="128"/>
      <c r="R43" s="129"/>
      <c r="S43" s="129"/>
      <c r="T43" s="129"/>
      <c r="U43" s="129"/>
      <c r="V43" s="127"/>
      <c r="W43" s="127"/>
      <c r="X43" s="119"/>
      <c r="Y43" s="119"/>
      <c r="Z43" s="119"/>
      <c r="AA43" s="127">
        <f t="shared" ref="AA43:AB47" si="2">+AA42</f>
        <v>0</v>
      </c>
      <c r="AB43" s="127">
        <f t="shared" si="2"/>
        <v>0</v>
      </c>
    </row>
    <row r="44" spans="3:28" ht="15" hidden="1" x14ac:dyDescent="0.25">
      <c r="E44" s="125"/>
      <c r="F44" s="119"/>
      <c r="G44" s="120"/>
      <c r="H44" s="120"/>
      <c r="I44" s="120"/>
      <c r="J44" s="120"/>
      <c r="K44" s="121"/>
      <c r="L44" s="121"/>
      <c r="M44" s="121"/>
      <c r="N44" s="127"/>
      <c r="O44" s="127"/>
      <c r="P44" s="128"/>
      <c r="Q44" s="128"/>
      <c r="R44" s="129"/>
      <c r="S44" s="129"/>
      <c r="T44" s="129"/>
      <c r="U44" s="129"/>
      <c r="V44" s="127"/>
      <c r="W44" s="127"/>
      <c r="X44" s="119"/>
      <c r="Y44" s="119"/>
      <c r="Z44" s="119"/>
      <c r="AA44" s="127">
        <f t="shared" si="2"/>
        <v>0</v>
      </c>
      <c r="AB44" s="127">
        <f t="shared" si="2"/>
        <v>0</v>
      </c>
    </row>
    <row r="45" spans="3:28" ht="15" hidden="1" x14ac:dyDescent="0.25">
      <c r="E45" s="125"/>
      <c r="F45" s="119"/>
      <c r="G45" s="120"/>
      <c r="H45" s="120"/>
      <c r="I45" s="120"/>
      <c r="J45" s="120"/>
      <c r="K45" s="121"/>
      <c r="L45" s="121"/>
      <c r="M45" s="121"/>
      <c r="N45" s="127"/>
      <c r="O45" s="127"/>
      <c r="P45" s="128"/>
      <c r="Q45" s="128"/>
      <c r="R45" s="129"/>
      <c r="S45" s="129"/>
      <c r="T45" s="129"/>
      <c r="U45" s="129"/>
      <c r="V45" s="127"/>
      <c r="W45" s="127"/>
      <c r="X45" s="119"/>
      <c r="Y45" s="119"/>
      <c r="Z45" s="119"/>
      <c r="AA45" s="127">
        <f t="shared" si="2"/>
        <v>0</v>
      </c>
      <c r="AB45" s="127">
        <f t="shared" si="2"/>
        <v>0</v>
      </c>
    </row>
    <row r="46" spans="3:28" ht="15" hidden="1" x14ac:dyDescent="0.25">
      <c r="E46" s="125"/>
      <c r="F46" s="119"/>
      <c r="G46" s="120"/>
      <c r="H46" s="120"/>
      <c r="I46" s="120"/>
      <c r="J46" s="120"/>
      <c r="K46" s="121"/>
      <c r="L46" s="121"/>
      <c r="M46" s="121"/>
      <c r="N46" s="127"/>
      <c r="O46" s="127"/>
      <c r="P46" s="128"/>
      <c r="Q46" s="128"/>
      <c r="R46" s="129"/>
      <c r="S46" s="129"/>
      <c r="T46" s="129"/>
      <c r="U46" s="129"/>
      <c r="V46" s="127"/>
      <c r="W46" s="127"/>
      <c r="X46" s="119"/>
      <c r="Y46" s="119"/>
      <c r="Z46" s="119"/>
      <c r="AA46" s="127">
        <f t="shared" si="2"/>
        <v>0</v>
      </c>
      <c r="AB46" s="127">
        <f t="shared" si="2"/>
        <v>0</v>
      </c>
    </row>
    <row r="47" spans="3:28" ht="15" hidden="1" x14ac:dyDescent="0.25">
      <c r="E47" s="125"/>
      <c r="F47" s="119"/>
      <c r="G47" s="120"/>
      <c r="H47" s="120"/>
      <c r="I47" s="120"/>
      <c r="J47" s="120"/>
      <c r="K47" s="121"/>
      <c r="L47" s="121"/>
      <c r="M47" s="121"/>
      <c r="N47" s="127"/>
      <c r="O47" s="127"/>
      <c r="P47" s="128"/>
      <c r="Q47" s="128"/>
      <c r="R47" s="129"/>
      <c r="S47" s="129"/>
      <c r="T47" s="129"/>
      <c r="U47" s="129"/>
      <c r="V47" s="127"/>
      <c r="W47" s="127"/>
      <c r="X47" s="119"/>
      <c r="Y47" s="119"/>
      <c r="Z47" s="119"/>
      <c r="AA47" s="127">
        <f t="shared" si="2"/>
        <v>0</v>
      </c>
      <c r="AB47" s="127">
        <f t="shared" si="2"/>
        <v>0</v>
      </c>
    </row>
    <row r="48" spans="3:28" hidden="1" x14ac:dyDescent="0.2"/>
    <row r="49" spans="4:4" hidden="1" x14ac:dyDescent="0.2"/>
    <row r="50" spans="4:4" hidden="1" x14ac:dyDescent="0.2"/>
    <row r="51" spans="4:4" hidden="1" x14ac:dyDescent="0.2"/>
    <row r="52" spans="4:4" hidden="1" x14ac:dyDescent="0.2"/>
    <row r="53" spans="4:4" hidden="1" x14ac:dyDescent="0.2"/>
    <row r="54" spans="4:4" hidden="1" x14ac:dyDescent="0.2"/>
    <row r="55" spans="4:4" hidden="1" x14ac:dyDescent="0.2">
      <c r="D55" s="101"/>
    </row>
    <row r="56" spans="4:4" hidden="1" x14ac:dyDescent="0.2">
      <c r="D56" s="101"/>
    </row>
    <row r="57" spans="4:4" hidden="1" x14ac:dyDescent="0.2">
      <c r="D57" s="101"/>
    </row>
    <row r="58" spans="4:4" hidden="1" x14ac:dyDescent="0.2">
      <c r="D58" s="101"/>
    </row>
  </sheetData>
  <sheetProtection algorithmName="SHA-512" hashValue="IGBkxYqvFcgHl+N5yM9KCM5D84MSpgQjHLLe0lDPN9dr2PdiJmZYz+NtFi4KBkRCnpF6XUoRHrctAy3YG2ie5A==" saltValue="/g2GcLIfGH+xaLv2drCHLg==" spinCount="100000" sheet="1" objects="1" scenarios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Nómina</vt:lpstr>
      <vt:lpstr>Datos IRPF</vt:lpstr>
      <vt:lpstr>Retribuciones</vt:lpstr>
      <vt:lpstr>Horas parciales</vt:lpstr>
      <vt:lpstr>Hoja2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JAngel</dc:creator>
  <cp:lastModifiedBy>DOCENTES DE CANARIAS-INSUCAN - CSIF</cp:lastModifiedBy>
  <cp:lastPrinted>2010-06-03T19:39:34Z</cp:lastPrinted>
  <dcterms:created xsi:type="dcterms:W3CDTF">2010-01-09T16:18:22Z</dcterms:created>
  <dcterms:modified xsi:type="dcterms:W3CDTF">2017-06-28T09:28:44Z</dcterms:modified>
</cp:coreProperties>
</file>